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86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инфор.'!$A$1:$N$31</definedName>
    <definedName name="_xlnm.Print_Area" localSheetId="1">'2 Показат. кач. передача'!$A$1:$T$49</definedName>
    <definedName name="_xlnm.Print_Area" localSheetId="2">'3 Показатели кач. тех. прис.'!$A$1:$R$55</definedName>
  </definedNames>
  <calcPr calcId="125725"/>
</workbook>
</file>

<file path=xl/calcChain.xml><?xml version="1.0" encoding="utf-8"?>
<calcChain xmlns="http://schemas.openxmlformats.org/spreadsheetml/2006/main">
  <c r="D41" i="1"/>
  <c r="E41"/>
  <c r="F41"/>
  <c r="G41"/>
  <c r="H41"/>
  <c r="I41"/>
  <c r="J41"/>
  <c r="K41"/>
  <c r="L41"/>
  <c r="M41"/>
  <c r="N41"/>
  <c r="O41"/>
  <c r="P41"/>
  <c r="Q41"/>
  <c r="R41"/>
  <c r="S41"/>
  <c r="C41"/>
  <c r="N40"/>
  <c r="M40"/>
  <c r="J40"/>
  <c r="I40"/>
  <c r="E40"/>
  <c r="E19"/>
  <c r="E23" s="1"/>
  <c r="E17"/>
  <c r="E13"/>
  <c r="E18" s="1"/>
  <c r="E7"/>
  <c r="E12" s="1"/>
  <c r="E11"/>
  <c r="D12"/>
  <c r="F40" s="1"/>
  <c r="E24" l="1"/>
  <c r="K52" i="3" l="1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F8" i="8"/>
  <c r="L52" i="3"/>
  <c r="J52"/>
  <c r="H52"/>
  <c r="F52"/>
  <c r="L51"/>
  <c r="J51"/>
  <c r="H51"/>
  <c r="F51"/>
  <c r="L50"/>
  <c r="J50"/>
  <c r="H50"/>
  <c r="F50"/>
  <c r="L49"/>
  <c r="J49"/>
  <c r="H49"/>
  <c r="F49"/>
  <c r="L48"/>
  <c r="J48"/>
  <c r="H48"/>
  <c r="F48"/>
  <c r="L47"/>
  <c r="J47"/>
  <c r="H47"/>
  <c r="F47"/>
  <c r="L46"/>
  <c r="J46"/>
  <c r="H46"/>
  <c r="F46"/>
  <c r="L45"/>
  <c r="J45"/>
  <c r="H45"/>
  <c r="F45"/>
  <c r="L44"/>
  <c r="J44"/>
  <c r="H44"/>
  <c r="F44"/>
  <c r="L43"/>
  <c r="J43"/>
  <c r="H43"/>
  <c r="F43"/>
  <c r="L42"/>
  <c r="J42"/>
  <c r="H42"/>
  <c r="F42"/>
  <c r="L41"/>
  <c r="J41"/>
  <c r="H41"/>
  <c r="F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D11" i="1"/>
  <c r="C11"/>
</calcChain>
</file>

<file path=xl/sharedStrings.xml><?xml version="1.0" encoding="utf-8"?>
<sst xmlns="http://schemas.openxmlformats.org/spreadsheetml/2006/main" count="803" uniqueCount="257">
  <si>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</si>
  <si>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</si>
  <si>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</si>
  <si>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</si>
  <si>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</si>
  <si>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</si>
  <si>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</si>
  <si>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</si>
  <si>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</si>
  <si>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</si>
  <si>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</si>
  <si>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</si>
  <si>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</si>
  <si>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</si>
  <si>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</si>
  <si>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</si>
  <si>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</si>
  <si>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</si>
  <si>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</si>
  <si>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</si>
  <si>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</si>
  <si>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</si>
  <si>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</si>
  <si>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</si>
  <si>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</si>
  <si>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</si>
  <si>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</si>
  <si>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</si>
  <si>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</si>
  <si>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</si>
  <si>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</si>
  <si>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</si>
  <si>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</si>
  <si>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</si>
  <si>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</si>
  <si>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</si>
  <si>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</si>
  <si>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</si>
  <si>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</si>
  <si>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</si>
  <si>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</si>
  <si>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</si>
  <si>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</si>
  <si>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</si>
  <si>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</si>
  <si>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</si>
  <si>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</si>
  <si>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</si>
  <si>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</si>
  <si>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</si>
  <si>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</si>
  <si>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</si>
  <si>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</si>
  <si>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</si>
  <si>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</si>
  <si>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</si>
  <si>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</si>
  <si>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</si>
  <si>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</si>
  <si>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</si>
  <si>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</si>
  <si>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</si>
  <si>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</si>
  <si>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</si>
  <si>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</si>
  <si>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</si>
  <si>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</si>
  <si>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</si>
  <si>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</si>
  <si>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</si>
  <si>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</si>
  <si>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</si>
  <si>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</si>
  <si>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</si>
  <si>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</si>
  <si>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</si>
  <si>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</si>
  <si>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</si>
  <si>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</si>
  <si>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</si>
  <si>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</si>
  <si>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</si>
  <si>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</si>
  <si>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</si>
  <si>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</si>
  <si>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</si>
  <si>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</si>
  <si>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</si>
  <si>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</si>
  <si>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</si>
  <si>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</si>
  <si>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</si>
  <si>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</si>
  <si>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</si>
  <si>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</si>
  <si>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</si>
  <si>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</si>
  <si>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</si>
  <si>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</si>
  <si>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</si>
  <si>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</si>
  <si>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</si>
  <si>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</si>
  <si>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</si>
  <si>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</si>
  <si>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</si>
  <si>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</si>
  <si>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</si>
  <si>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</si>
  <si>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</si>
  <si>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</si>
  <si>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</si>
  <si>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</si>
  <si>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</si>
  <si>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</si>
  <si>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</si>
  <si>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</si>
  <si>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</si>
  <si>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</si>
  <si>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</si>
  <si>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</si>
  <si>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</si>
  <si>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</si>
  <si>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</si>
  <si>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</si>
  <si>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</si>
  <si>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</si>
  <si>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</si>
  <si>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</si>
  <si>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</si>
  <si>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</si>
  <si>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</si>
  <si>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</si>
  <si>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</si>
  <si>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</si>
  <si>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</si>
  <si>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</si>
  <si>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</si>
  <si>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</si>
  <si>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</si>
  <si>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</si>
  <si>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</si>
  <si>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</si>
  <si>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</si>
  <si>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</si>
  <si>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</si>
  <si>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</si>
  <si>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</si>
  <si>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</si>
  <si>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</si>
  <si>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</si>
  <si>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</si>
  <si>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</si>
  <si>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</si>
  <si>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</si>
  <si>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</si>
  <si>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</si>
  <si>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</si>
  <si>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</si>
  <si>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</si>
  <si>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</si>
  <si>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</si>
  <si>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</si>
  <si>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</si>
  <si>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</si>
  <si>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</si>
  <si>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</si>
  <si>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</si>
  <si>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</si>
  <si>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</si>
  <si>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</si>
  <si>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</si>
  <si>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</si>
  <si>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</si>
  <si>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</si>
  <si>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</si>
  <si>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</si>
  <si>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</si>
  <si>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</si>
  <si>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</si>
  <si>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</si>
  <si>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</si>
  <si>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</si>
  <si>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</si>
  <si>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</si>
  <si>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</si>
  <si>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</si>
  <si>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</si>
  <si>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</si>
  <si>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</si>
  <si>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</si>
  <si>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</si>
  <si>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</si>
  <si>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</si>
  <si>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</si>
  <si>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</si>
  <si>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</si>
  <si>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</si>
  <si>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</si>
  <si>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</si>
  <si>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</si>
  <si>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</si>
  <si>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</si>
  <si>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</si>
  <si>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</si>
  <si>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</si>
  <si>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</si>
  <si>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</si>
  <si>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</si>
  <si>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</si>
  <si>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</si>
  <si>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</si>
  <si>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ФЛ (население)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</si>
  <si>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</si>
  <si>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</si>
  <si>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</si>
  <si>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</si>
  <si>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</si>
  <si>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</si>
  <si>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</si>
  <si>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ФЛ (население чжд)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</si>
  <si>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</si>
  <si>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</si>
  <si>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</si>
  <si>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</si>
  <si>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</si>
  <si>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</si>
  <si>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</si>
  <si>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</si>
  <si>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</si>
  <si>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</si>
  <si>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</si>
  <si>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</si>
  <si>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</si>
  <si>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11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</si>
  <si>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</si>
  <si>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</si>
  <si>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ООО "Гранат" инвестиционной программы, утвержденной РЭК Омской области.</t>
    </r>
  </si>
  <si>
    <t>1. Стоимость услуг тех. присоединения к сетям ООО "Гранат" определяется согласно стандартизированным тарифным ставкам, установленными в редакции приказа РЭК Омской области №195/45 от 18.08.2015г. Расчет окончательной стоимости определяется по формулам, указанным в Приложении №4 настоящего приказа</t>
  </si>
  <si>
    <t>98-53-87; granat2112@mail.ru</t>
  </si>
  <si>
    <t>http://tso-granat.ru/centr-obsluzhivaniya-klientov/okno-podachi-zayavok-na-texnologicheskoe-prisoedinenie/</t>
  </si>
  <si>
    <t>98-53-87</t>
  </si>
  <si>
    <t>4. Качество обслуживания потребителей ООО "Гранат"</t>
  </si>
  <si>
    <t>3,62</t>
  </si>
  <si>
    <t>ТП/РП</t>
  </si>
  <si>
    <t>61%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</si>
  <si>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</si>
  <si>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</si>
  <si>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</si>
  <si>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</si>
  <si>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</si>
  <si>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</si>
  <si>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2015 год (факт)</t>
  </si>
  <si>
    <t>40</t>
  </si>
  <si>
    <t>52</t>
  </si>
  <si>
    <t>2. Информация о качестве услуг по передаче электрической энергии по сетям сетевой организации ООО "Гранат" на 2015 год (факт)</t>
  </si>
  <si>
    <t>ООО "Гранат"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</si>
</sst>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0" xfId="0" applyNumberFormat="1" applyFont="1" applyAlignment="1">
      <alignment horizontal="center" vertical="center" textRotation="180" wrapText="1"/>
    </xf>
    <xf numFmtId="0" fontId="2" fillId="0" borderId="1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17" xfId="0" applyBorder="1"/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center" wrapText="1"/>
    </xf>
    <xf numFmtId="16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85" zoomScaleSheetLayoutView="85" workbookViewId="0">
      <selection activeCell="F15" sqref="F15"/>
    </sheetView>
  </sheetViews>
  <sheetFormatPr defaultRowHeight="15"/>
  <cols>
    <col min="1" max="1" width="19" style="9" customWidth="1"/>
    <col min="2" max="2" width="15.42578125" style="9" customWidth="1"/>
    <col min="3" max="3" width="12.140625" style="9" customWidth="1"/>
    <col min="4" max="4" width="13.85546875" style="9" customWidth="1"/>
    <col min="5" max="5" width="13.28515625" style="1" customWidth="1"/>
    <col min="6" max="6" width="13.85546875" style="1" customWidth="1"/>
    <col min="7" max="7" width="13.140625" style="1" customWidth="1"/>
    <col min="8" max="8" width="11.7109375" style="1" customWidth="1"/>
    <col min="9" max="9" width="12.5703125" style="1" customWidth="1"/>
    <col min="10" max="10" width="12.85546875" style="1" customWidth="1"/>
    <col min="11" max="11" width="11.5703125" style="1" customWidth="1"/>
    <col min="12" max="12" width="12.5703125" style="1" customWidth="1"/>
    <col min="13" max="13" width="14.42578125" style="1" customWidth="1"/>
    <col min="14" max="14" width="11.5703125" style="1" customWidth="1"/>
    <col min="15" max="15" width="12.5703125" style="1" customWidth="1"/>
    <col min="16" max="16384" width="9.140625" style="1"/>
  </cols>
  <sheetData>
    <row r="1" spans="1:24" ht="15.75">
      <c r="A1" s="76" t="s">
        <v>233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3" spans="1:24" s="18" customFormat="1" ht="45.75" customHeight="1" thickBot="1">
      <c r="A3" s="75" t="s">
        <v>207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80" t="s">
        <v>209</v>
      </c>
      <c r="B4" s="81" t="s">
        <v>50</v>
      </c>
      <c r="C4" s="77" t="s">
        <v>252</v>
      </c>
      <c r="D4" s="78"/>
      <c r="E4" s="78"/>
      <c r="F4" s="79"/>
    </row>
    <row r="5" spans="1:24" s="10" customFormat="1">
      <c r="A5" s="80"/>
      <c r="B5" s="81"/>
      <c r="C5" s="32" t="s">
        <v>19</v>
      </c>
      <c r="D5" s="16" t="s">
        <v>20</v>
      </c>
      <c r="E5" s="14" t="s">
        <v>21</v>
      </c>
      <c r="F5" s="33" t="s">
        <v>22</v>
      </c>
    </row>
    <row r="6" spans="1:24" s="10" customFormat="1">
      <c r="A6" s="12" t="s">
        <v>155</v>
      </c>
      <c r="B6" s="22" t="s">
        <v>139</v>
      </c>
      <c r="C6" s="26" t="s">
        <v>149</v>
      </c>
      <c r="D6" s="12" t="s">
        <v>156</v>
      </c>
      <c r="E6" s="12" t="s">
        <v>210</v>
      </c>
      <c r="F6" s="27" t="s">
        <v>211</v>
      </c>
    </row>
    <row r="7" spans="1:24">
      <c r="A7" s="13" t="s">
        <v>208</v>
      </c>
      <c r="B7" s="20" t="s">
        <v>52</v>
      </c>
      <c r="C7" s="28" t="s">
        <v>154</v>
      </c>
      <c r="D7" s="11" t="s">
        <v>154</v>
      </c>
      <c r="E7" s="14">
        <v>30</v>
      </c>
      <c r="F7" s="33">
        <v>4</v>
      </c>
    </row>
    <row r="8" spans="1:24" ht="15.75" thickBot="1">
      <c r="A8" s="13" t="s">
        <v>212</v>
      </c>
      <c r="B8" s="20" t="s">
        <v>52</v>
      </c>
      <c r="C8" s="29" t="s">
        <v>154</v>
      </c>
      <c r="D8" s="34" t="s">
        <v>154</v>
      </c>
      <c r="E8" s="34" t="s">
        <v>155</v>
      </c>
      <c r="F8" s="35">
        <f>1+40</f>
        <v>41</v>
      </c>
    </row>
    <row r="10" spans="1:24" s="19" customFormat="1" ht="60" customHeight="1" thickBot="1">
      <c r="A10" s="75" t="s">
        <v>213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24" s="15" customFormat="1" ht="60">
      <c r="A11" s="82" t="s">
        <v>209</v>
      </c>
      <c r="B11" s="24" t="s">
        <v>214</v>
      </c>
      <c r="C11" s="25" t="s">
        <v>215</v>
      </c>
      <c r="D11" s="4"/>
      <c r="E11" s="4"/>
      <c r="F11" s="4"/>
      <c r="G11" s="4"/>
      <c r="H11" s="4"/>
      <c r="I11" s="4"/>
      <c r="J11" s="4"/>
    </row>
    <row r="12" spans="1:24" s="15" customFormat="1" ht="15" customHeight="1">
      <c r="A12" s="83"/>
      <c r="B12" s="84" t="s">
        <v>252</v>
      </c>
      <c r="C12" s="85"/>
      <c r="D12" s="4"/>
      <c r="E12" s="4"/>
      <c r="F12" s="4"/>
      <c r="G12" s="4"/>
      <c r="H12" s="4"/>
      <c r="I12" s="4"/>
      <c r="J12" s="4"/>
    </row>
    <row r="13" spans="1:24" s="15" customFormat="1">
      <c r="A13" s="22" t="s">
        <v>155</v>
      </c>
      <c r="B13" s="26" t="s">
        <v>139</v>
      </c>
      <c r="C13" s="27" t="s">
        <v>149</v>
      </c>
      <c r="D13" s="4"/>
      <c r="E13" s="4"/>
      <c r="F13" s="4"/>
      <c r="G13" s="4"/>
      <c r="H13" s="4"/>
      <c r="I13" s="4"/>
      <c r="J13" s="4"/>
    </row>
    <row r="14" spans="1:24">
      <c r="A14" s="23" t="s">
        <v>208</v>
      </c>
      <c r="B14" s="124" t="s">
        <v>254</v>
      </c>
      <c r="C14" s="125" t="s">
        <v>254</v>
      </c>
      <c r="D14" s="1"/>
    </row>
    <row r="15" spans="1:24">
      <c r="A15" s="23" t="s">
        <v>220</v>
      </c>
      <c r="B15" s="124" t="s">
        <v>253</v>
      </c>
      <c r="C15" s="125" t="s">
        <v>253</v>
      </c>
      <c r="D15" s="1"/>
    </row>
    <row r="16" spans="1:24">
      <c r="A16" s="23" t="s">
        <v>216</v>
      </c>
      <c r="B16" s="124" t="s">
        <v>234</v>
      </c>
      <c r="C16" s="125">
        <v>11</v>
      </c>
      <c r="D16" s="1"/>
    </row>
    <row r="17" spans="1:14">
      <c r="A17" s="23" t="s">
        <v>217</v>
      </c>
      <c r="B17" s="28" t="s">
        <v>154</v>
      </c>
      <c r="C17" s="21" t="s">
        <v>154</v>
      </c>
      <c r="D17" s="1"/>
    </row>
    <row r="18" spans="1:14" ht="15.75" thickBot="1">
      <c r="A18" s="23" t="s">
        <v>218</v>
      </c>
      <c r="B18" s="29" t="s">
        <v>154</v>
      </c>
      <c r="C18" s="30" t="s">
        <v>154</v>
      </c>
      <c r="D18" s="1"/>
    </row>
    <row r="20" spans="1:14" ht="39.75" customHeight="1" thickBot="1">
      <c r="A20" s="75" t="s">
        <v>219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5" customHeight="1">
      <c r="A21" s="92" t="s">
        <v>221</v>
      </c>
      <c r="B21" s="87" t="s">
        <v>222</v>
      </c>
      <c r="C21" s="87"/>
      <c r="D21" s="87" t="s">
        <v>223</v>
      </c>
      <c r="E21" s="88"/>
    </row>
    <row r="22" spans="1:14">
      <c r="A22" s="93"/>
      <c r="B22" s="11" t="s">
        <v>225</v>
      </c>
      <c r="C22" s="11" t="s">
        <v>224</v>
      </c>
      <c r="D22" s="11" t="s">
        <v>225</v>
      </c>
      <c r="E22" s="21" t="s">
        <v>224</v>
      </c>
    </row>
    <row r="23" spans="1:14">
      <c r="A23" s="89" t="s">
        <v>252</v>
      </c>
      <c r="B23" s="90"/>
      <c r="C23" s="90"/>
      <c r="D23" s="90"/>
      <c r="E23" s="91"/>
    </row>
    <row r="24" spans="1:14" s="65" customFormat="1" ht="15.75" thickBot="1">
      <c r="A24" s="64">
        <v>6</v>
      </c>
      <c r="B24" s="62" t="s">
        <v>154</v>
      </c>
      <c r="C24" s="62" t="s">
        <v>243</v>
      </c>
      <c r="D24" s="121">
        <v>14.2</v>
      </c>
      <c r="E24" s="63">
        <v>0.38500000000000001</v>
      </c>
    </row>
    <row r="26" spans="1:14" ht="35.25" customHeight="1" thickBot="1">
      <c r="A26" s="75" t="s">
        <v>226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s="15" customFormat="1" ht="15" customHeight="1">
      <c r="A27" s="81" t="s">
        <v>228</v>
      </c>
      <c r="B27" s="86" t="s">
        <v>227</v>
      </c>
      <c r="C27" s="87"/>
      <c r="D27" s="87"/>
      <c r="E27" s="88"/>
    </row>
    <row r="28" spans="1:14" s="10" customFormat="1">
      <c r="A28" s="81"/>
      <c r="B28" s="59" t="s">
        <v>19</v>
      </c>
      <c r="C28" s="60" t="s">
        <v>20</v>
      </c>
      <c r="D28" s="60" t="s">
        <v>21</v>
      </c>
      <c r="E28" s="31" t="s">
        <v>22</v>
      </c>
    </row>
    <row r="29" spans="1:14">
      <c r="A29" s="81"/>
      <c r="B29" s="89" t="s">
        <v>252</v>
      </c>
      <c r="C29" s="90"/>
      <c r="D29" s="90"/>
      <c r="E29" s="91"/>
    </row>
    <row r="30" spans="1:14">
      <c r="A30" s="61" t="s">
        <v>244</v>
      </c>
      <c r="B30" s="59"/>
      <c r="C30" s="60"/>
      <c r="D30" s="60" t="s">
        <v>245</v>
      </c>
      <c r="E30" s="122"/>
    </row>
    <row r="31" spans="1:14" s="66" customFormat="1" ht="15.75" thickBot="1">
      <c r="A31" s="71" t="s">
        <v>246</v>
      </c>
      <c r="B31" s="64"/>
      <c r="C31" s="72"/>
      <c r="D31" s="62" t="s">
        <v>245</v>
      </c>
      <c r="E31" s="123">
        <v>0.43</v>
      </c>
    </row>
  </sheetData>
  <mergeCells count="17">
    <mergeCell ref="A26:N26"/>
    <mergeCell ref="B27:E27"/>
    <mergeCell ref="B29:E29"/>
    <mergeCell ref="A27:A29"/>
    <mergeCell ref="A21:A22"/>
    <mergeCell ref="A23:E23"/>
    <mergeCell ref="B21:C21"/>
    <mergeCell ref="D21:E21"/>
    <mergeCell ref="A20:N20"/>
    <mergeCell ref="A1:R1"/>
    <mergeCell ref="C4:F4"/>
    <mergeCell ref="A4:A5"/>
    <mergeCell ref="B4:B5"/>
    <mergeCell ref="A3:N3"/>
    <mergeCell ref="A10:N10"/>
    <mergeCell ref="A11:A12"/>
    <mergeCell ref="B12:C12"/>
  </mergeCells>
  <pageMargins left="0.7" right="0.7" top="0.75" bottom="0.75" header="0.3" footer="0.3"/>
  <pageSetup paperSize="9" scale="69" orientation="landscape" r:id="rId1"/>
  <colBreaks count="1" manualBreakCount="1">
    <brk id="14" max="1048575" man="1"/>
  </colBreaks>
  <ignoredErrors>
    <ignoredError sqref="A6:B6 A13 B16 A24:C24 B30:D31 C6:F6 E8 B13:C13 B15:C15 B14:C14 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15" zoomScaleSheetLayoutView="115" workbookViewId="0">
      <selection activeCell="A43" sqref="A43:T43"/>
    </sheetView>
  </sheetViews>
  <sheetFormatPr defaultRowHeight="15"/>
  <cols>
    <col min="1" max="1" width="6.7109375" style="1" customWidth="1"/>
    <col min="2" max="2" width="53.85546875" style="1" customWidth="1"/>
    <col min="3" max="3" width="12.28515625" style="1" customWidth="1"/>
    <col min="4" max="4" width="13.28515625" style="1" customWidth="1"/>
    <col min="5" max="5" width="14.140625" style="1" customWidth="1"/>
    <col min="6" max="18" width="9.140625" style="1"/>
    <col min="19" max="19" width="32.7109375" style="1" customWidth="1"/>
    <col min="20" max="20" width="34.42578125" style="1" customWidth="1"/>
    <col min="21" max="16384" width="9.140625" style="1"/>
  </cols>
  <sheetData>
    <row r="1" spans="1:13" ht="15.75">
      <c r="A1" s="76" t="s">
        <v>255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5" customFormat="1" ht="12.75">
      <c r="A2" s="99" t="s">
        <v>121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4" spans="1:13">
      <c r="A4" s="96" t="s">
        <v>2</v>
      </c>
      <c r="B4" s="96" t="s">
        <v>0</v>
      </c>
      <c r="C4" s="96" t="s">
        <v>1</v>
      </c>
      <c r="D4" s="96"/>
      <c r="E4" s="96"/>
    </row>
    <row r="5" spans="1:13" ht="38.25">
      <c r="A5" s="96"/>
      <c r="B5" s="96"/>
      <c r="C5" s="36" t="s">
        <v>3</v>
      </c>
      <c r="D5" s="36" t="s">
        <v>4</v>
      </c>
      <c r="E5" s="36" t="s">
        <v>5</v>
      </c>
    </row>
    <row r="6" spans="1:13">
      <c r="A6" s="36">
        <v>1</v>
      </c>
      <c r="B6" s="36">
        <v>2</v>
      </c>
      <c r="C6" s="47">
        <v>3</v>
      </c>
      <c r="D6" s="47">
        <v>4</v>
      </c>
      <c r="E6" s="47">
        <v>5</v>
      </c>
    </row>
    <row r="7" spans="1:13" ht="25.5" customHeight="1">
      <c r="A7" s="96">
        <v>1</v>
      </c>
      <c r="B7" s="101" t="s">
        <v>230</v>
      </c>
      <c r="C7" s="126">
        <v>0.16669999999999999</v>
      </c>
      <c r="D7" s="126">
        <v>0.1047</v>
      </c>
      <c r="E7" s="127">
        <f>(C7-D7)*100/C7</f>
        <v>37.192561487702456</v>
      </c>
    </row>
    <row r="8" spans="1:13">
      <c r="A8" s="96"/>
      <c r="B8" s="101"/>
      <c r="C8" s="126"/>
      <c r="D8" s="126"/>
      <c r="E8" s="127"/>
    </row>
    <row r="9" spans="1:13">
      <c r="A9" s="41" t="s">
        <v>99</v>
      </c>
      <c r="B9" s="45" t="s">
        <v>6</v>
      </c>
      <c r="C9" s="55" t="s">
        <v>118</v>
      </c>
      <c r="D9" s="55" t="s">
        <v>118</v>
      </c>
      <c r="E9" s="55" t="s">
        <v>118</v>
      </c>
    </row>
    <row r="10" spans="1:13">
      <c r="A10" s="41" t="s">
        <v>100</v>
      </c>
      <c r="B10" s="45" t="s">
        <v>7</v>
      </c>
      <c r="C10" s="55" t="s">
        <v>118</v>
      </c>
      <c r="D10" s="55" t="s">
        <v>118</v>
      </c>
      <c r="E10" s="55" t="s">
        <v>118</v>
      </c>
    </row>
    <row r="11" spans="1:13">
      <c r="A11" s="41" t="s">
        <v>101</v>
      </c>
      <c r="B11" s="45" t="s">
        <v>8</v>
      </c>
      <c r="C11" s="55">
        <f>C7</f>
        <v>0.16669999999999999</v>
      </c>
      <c r="D11" s="55">
        <f>D7</f>
        <v>0.1047</v>
      </c>
      <c r="E11" s="128">
        <f>E7</f>
        <v>37.192561487702456</v>
      </c>
    </row>
    <row r="12" spans="1:13">
      <c r="A12" s="41" t="s">
        <v>102</v>
      </c>
      <c r="B12" s="45" t="s">
        <v>9</v>
      </c>
      <c r="C12" s="55" t="s">
        <v>118</v>
      </c>
      <c r="D12" s="55">
        <f>D7</f>
        <v>0.1047</v>
      </c>
      <c r="E12" s="128">
        <f>E7</f>
        <v>37.192561487702456</v>
      </c>
    </row>
    <row r="13" spans="1:13" ht="25.5" customHeight="1">
      <c r="A13" s="96">
        <v>2</v>
      </c>
      <c r="B13" s="101" t="s">
        <v>229</v>
      </c>
      <c r="C13" s="126">
        <v>1</v>
      </c>
      <c r="D13" s="126">
        <v>0.68</v>
      </c>
      <c r="E13" s="127">
        <f>(C13-D13)*100/C13</f>
        <v>31.999999999999996</v>
      </c>
    </row>
    <row r="14" spans="1:13">
      <c r="A14" s="96"/>
      <c r="B14" s="101"/>
      <c r="C14" s="126"/>
      <c r="D14" s="126"/>
      <c r="E14" s="127"/>
    </row>
    <row r="15" spans="1:13">
      <c r="A15" s="41" t="s">
        <v>103</v>
      </c>
      <c r="B15" s="45" t="s">
        <v>6</v>
      </c>
      <c r="C15" s="55" t="s">
        <v>118</v>
      </c>
      <c r="D15" s="55" t="s">
        <v>118</v>
      </c>
      <c r="E15" s="55" t="s">
        <v>118</v>
      </c>
    </row>
    <row r="16" spans="1:13">
      <c r="A16" s="41" t="s">
        <v>104</v>
      </c>
      <c r="B16" s="45" t="s">
        <v>7</v>
      </c>
      <c r="C16" s="55" t="s">
        <v>118</v>
      </c>
      <c r="D16" s="55" t="s">
        <v>118</v>
      </c>
      <c r="E16" s="55" t="s">
        <v>118</v>
      </c>
    </row>
    <row r="17" spans="1:5">
      <c r="A17" s="41" t="s">
        <v>105</v>
      </c>
      <c r="B17" s="45" t="s">
        <v>8</v>
      </c>
      <c r="C17" s="55">
        <v>1</v>
      </c>
      <c r="D17" s="55">
        <v>0.68</v>
      </c>
      <c r="E17" s="128">
        <f>E13</f>
        <v>31.999999999999996</v>
      </c>
    </row>
    <row r="18" spans="1:5">
      <c r="A18" s="41" t="s">
        <v>106</v>
      </c>
      <c r="B18" s="45" t="s">
        <v>9</v>
      </c>
      <c r="C18" s="55" t="s">
        <v>118</v>
      </c>
      <c r="D18" s="55">
        <v>0.68</v>
      </c>
      <c r="E18" s="128">
        <f>E13</f>
        <v>31.999999999999996</v>
      </c>
    </row>
    <row r="19" spans="1:5" ht="63.75" customHeight="1">
      <c r="A19" s="96">
        <v>3</v>
      </c>
      <c r="B19" s="101" t="s">
        <v>231</v>
      </c>
      <c r="C19" s="126">
        <v>1.5</v>
      </c>
      <c r="D19" s="126">
        <v>8.6400000000000005E-2</v>
      </c>
      <c r="E19" s="127">
        <f>(C19-D19)*100/C19</f>
        <v>94.24</v>
      </c>
    </row>
    <row r="20" spans="1:5">
      <c r="A20" s="96"/>
      <c r="B20" s="101"/>
      <c r="C20" s="126"/>
      <c r="D20" s="126"/>
      <c r="E20" s="127"/>
    </row>
    <row r="21" spans="1:5">
      <c r="A21" s="41" t="s">
        <v>107</v>
      </c>
      <c r="B21" s="45" t="s">
        <v>6</v>
      </c>
      <c r="C21" s="55" t="s">
        <v>118</v>
      </c>
      <c r="D21" s="55" t="s">
        <v>118</v>
      </c>
      <c r="E21" s="55" t="s">
        <v>118</v>
      </c>
    </row>
    <row r="22" spans="1:5">
      <c r="A22" s="41" t="s">
        <v>108</v>
      </c>
      <c r="B22" s="45" t="s">
        <v>7</v>
      </c>
      <c r="C22" s="55" t="s">
        <v>118</v>
      </c>
      <c r="D22" s="55" t="s">
        <v>118</v>
      </c>
      <c r="E22" s="55" t="s">
        <v>118</v>
      </c>
    </row>
    <row r="23" spans="1:5">
      <c r="A23" s="41" t="s">
        <v>109</v>
      </c>
      <c r="B23" s="45" t="s">
        <v>8</v>
      </c>
      <c r="C23" s="55">
        <v>1.5</v>
      </c>
      <c r="D23" s="55">
        <v>8.6400000000000005E-2</v>
      </c>
      <c r="E23" s="128">
        <f>E19</f>
        <v>94.24</v>
      </c>
    </row>
    <row r="24" spans="1:5">
      <c r="A24" s="41" t="s">
        <v>110</v>
      </c>
      <c r="B24" s="45" t="s">
        <v>9</v>
      </c>
      <c r="C24" s="55" t="s">
        <v>118</v>
      </c>
      <c r="D24" s="55">
        <v>8.6400000000000005E-2</v>
      </c>
      <c r="E24" s="128">
        <f>E19</f>
        <v>94.24</v>
      </c>
    </row>
    <row r="25" spans="1:5" ht="63.75" customHeight="1">
      <c r="A25" s="96">
        <v>4</v>
      </c>
      <c r="B25" s="101" t="s">
        <v>232</v>
      </c>
      <c r="C25" s="100">
        <v>0</v>
      </c>
      <c r="D25" s="100">
        <v>0</v>
      </c>
      <c r="E25" s="100">
        <v>0</v>
      </c>
    </row>
    <row r="26" spans="1:5">
      <c r="A26" s="96"/>
      <c r="B26" s="101"/>
      <c r="C26" s="100"/>
      <c r="D26" s="100"/>
      <c r="E26" s="100"/>
    </row>
    <row r="27" spans="1:5">
      <c r="A27" s="41" t="s">
        <v>111</v>
      </c>
      <c r="B27" s="45" t="s">
        <v>6</v>
      </c>
      <c r="C27" s="42" t="s">
        <v>118</v>
      </c>
      <c r="D27" s="42" t="s">
        <v>118</v>
      </c>
      <c r="E27" s="42" t="s">
        <v>118</v>
      </c>
    </row>
    <row r="28" spans="1:5">
      <c r="A28" s="41" t="s">
        <v>112</v>
      </c>
      <c r="B28" s="45" t="s">
        <v>7</v>
      </c>
      <c r="C28" s="42" t="s">
        <v>118</v>
      </c>
      <c r="D28" s="42" t="s">
        <v>118</v>
      </c>
      <c r="E28" s="42" t="s">
        <v>118</v>
      </c>
    </row>
    <row r="29" spans="1:5">
      <c r="A29" s="41" t="s">
        <v>113</v>
      </c>
      <c r="B29" s="45" t="s">
        <v>8</v>
      </c>
      <c r="C29" s="42" t="s">
        <v>118</v>
      </c>
      <c r="D29" s="42" t="s">
        <v>118</v>
      </c>
      <c r="E29" s="42" t="s">
        <v>118</v>
      </c>
    </row>
    <row r="30" spans="1:5">
      <c r="A30" s="41" t="s">
        <v>114</v>
      </c>
      <c r="B30" s="45" t="s">
        <v>9</v>
      </c>
      <c r="C30" s="42" t="s">
        <v>118</v>
      </c>
      <c r="D30" s="42" t="s">
        <v>118</v>
      </c>
      <c r="E30" s="42" t="s">
        <v>118</v>
      </c>
    </row>
    <row r="31" spans="1:5" ht="38.25">
      <c r="A31" s="36">
        <v>5</v>
      </c>
      <c r="B31" s="46" t="s">
        <v>10</v>
      </c>
      <c r="C31" s="42">
        <v>0</v>
      </c>
      <c r="D31" s="42">
        <v>0</v>
      </c>
      <c r="E31" s="42">
        <v>0</v>
      </c>
    </row>
    <row r="32" spans="1:5" ht="51">
      <c r="A32" s="41" t="s">
        <v>115</v>
      </c>
      <c r="B32" s="46" t="s">
        <v>11</v>
      </c>
      <c r="C32" s="42">
        <v>0</v>
      </c>
      <c r="D32" s="42">
        <v>0</v>
      </c>
      <c r="E32" s="42">
        <v>0</v>
      </c>
    </row>
    <row r="34" spans="1:20" s="6" customFormat="1" ht="12.75">
      <c r="A34" s="94" t="s">
        <v>235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1:20">
      <c r="A35" s="2"/>
    </row>
    <row r="36" spans="1:20" ht="133.5" customHeight="1">
      <c r="A36" s="96" t="s">
        <v>2</v>
      </c>
      <c r="B36" s="96" t="s">
        <v>12</v>
      </c>
      <c r="C36" s="96" t="s">
        <v>13</v>
      </c>
      <c r="D36" s="96"/>
      <c r="E36" s="96"/>
      <c r="F36" s="96"/>
      <c r="G36" s="96" t="s">
        <v>14</v>
      </c>
      <c r="H36" s="96"/>
      <c r="I36" s="96"/>
      <c r="J36" s="96"/>
      <c r="K36" s="96" t="s">
        <v>15</v>
      </c>
      <c r="L36" s="96"/>
      <c r="M36" s="96"/>
      <c r="N36" s="96"/>
      <c r="O36" s="96" t="s">
        <v>16</v>
      </c>
      <c r="P36" s="96"/>
      <c r="Q36" s="96"/>
      <c r="R36" s="96"/>
      <c r="S36" s="96" t="s">
        <v>17</v>
      </c>
      <c r="T36" s="96" t="s">
        <v>18</v>
      </c>
    </row>
    <row r="37" spans="1:20" ht="33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>
      <c r="A38" s="96"/>
      <c r="B38" s="96"/>
      <c r="C38" s="36" t="s">
        <v>19</v>
      </c>
      <c r="D38" s="36" t="s">
        <v>20</v>
      </c>
      <c r="E38" s="36" t="s">
        <v>21</v>
      </c>
      <c r="F38" s="36" t="s">
        <v>22</v>
      </c>
      <c r="G38" s="36" t="s">
        <v>19</v>
      </c>
      <c r="H38" s="36" t="s">
        <v>20</v>
      </c>
      <c r="I38" s="36" t="s">
        <v>21</v>
      </c>
      <c r="J38" s="36" t="s">
        <v>22</v>
      </c>
      <c r="K38" s="36" t="s">
        <v>19</v>
      </c>
      <c r="L38" s="36" t="s">
        <v>20</v>
      </c>
      <c r="M38" s="36" t="s">
        <v>21</v>
      </c>
      <c r="N38" s="36" t="s">
        <v>22</v>
      </c>
      <c r="O38" s="36" t="s">
        <v>19</v>
      </c>
      <c r="P38" s="36" t="s">
        <v>20</v>
      </c>
      <c r="Q38" s="36" t="s">
        <v>21</v>
      </c>
      <c r="R38" s="36" t="s">
        <v>22</v>
      </c>
      <c r="S38" s="96"/>
      <c r="T38" s="96"/>
    </row>
    <row r="39" spans="1:20">
      <c r="A39" s="36">
        <v>1</v>
      </c>
      <c r="B39" s="36">
        <v>2</v>
      </c>
      <c r="C39" s="36">
        <v>3</v>
      </c>
      <c r="D39" s="36">
        <v>4</v>
      </c>
      <c r="E39" s="36">
        <v>5</v>
      </c>
      <c r="F39" s="36">
        <v>6</v>
      </c>
      <c r="G39" s="36">
        <v>7</v>
      </c>
      <c r="H39" s="36">
        <v>8</v>
      </c>
      <c r="I39" s="36">
        <v>9</v>
      </c>
      <c r="J39" s="36">
        <v>10</v>
      </c>
      <c r="K39" s="36">
        <v>11</v>
      </c>
      <c r="L39" s="36">
        <v>12</v>
      </c>
      <c r="M39" s="36">
        <v>13</v>
      </c>
      <c r="N39" s="36">
        <v>14</v>
      </c>
      <c r="O39" s="36">
        <v>15</v>
      </c>
      <c r="P39" s="36">
        <v>16</v>
      </c>
      <c r="Q39" s="36">
        <v>17</v>
      </c>
      <c r="R39" s="36">
        <v>18</v>
      </c>
      <c r="S39" s="36">
        <v>19</v>
      </c>
      <c r="T39" s="36">
        <v>20</v>
      </c>
    </row>
    <row r="40" spans="1:20">
      <c r="A40" s="36">
        <v>1</v>
      </c>
      <c r="B40" s="39" t="s">
        <v>256</v>
      </c>
      <c r="C40" s="73"/>
      <c r="D40" s="73"/>
      <c r="E40" s="73">
        <f>D7</f>
        <v>0.1047</v>
      </c>
      <c r="F40" s="73">
        <f>D12</f>
        <v>0.1047</v>
      </c>
      <c r="G40" s="73"/>
      <c r="H40" s="73"/>
      <c r="I40" s="73">
        <f>D13</f>
        <v>0.68</v>
      </c>
      <c r="J40" s="73">
        <f>D18</f>
        <v>0.68</v>
      </c>
      <c r="K40" s="73"/>
      <c r="L40" s="73"/>
      <c r="M40" s="73">
        <f>D23</f>
        <v>8.6400000000000005E-2</v>
      </c>
      <c r="N40" s="73">
        <f>D24</f>
        <v>8.6400000000000005E-2</v>
      </c>
      <c r="O40" s="73"/>
      <c r="P40" s="73"/>
      <c r="Q40" s="73">
        <v>0</v>
      </c>
      <c r="R40" s="73">
        <v>0</v>
      </c>
      <c r="S40" s="73">
        <v>0.89749999999999996</v>
      </c>
      <c r="T40" s="73"/>
    </row>
    <row r="41" spans="1:20">
      <c r="A41" s="36" t="s">
        <v>23</v>
      </c>
      <c r="B41" s="39" t="s">
        <v>24</v>
      </c>
      <c r="C41" s="74">
        <f>C40</f>
        <v>0</v>
      </c>
      <c r="D41" s="74">
        <f t="shared" ref="D41:S41" si="0">D40</f>
        <v>0</v>
      </c>
      <c r="E41" s="74">
        <f t="shared" si="0"/>
        <v>0.1047</v>
      </c>
      <c r="F41" s="74">
        <f t="shared" si="0"/>
        <v>0.1047</v>
      </c>
      <c r="G41" s="74">
        <f t="shared" si="0"/>
        <v>0</v>
      </c>
      <c r="H41" s="74">
        <f t="shared" si="0"/>
        <v>0</v>
      </c>
      <c r="I41" s="74">
        <f t="shared" si="0"/>
        <v>0.68</v>
      </c>
      <c r="J41" s="74">
        <f t="shared" si="0"/>
        <v>0.68</v>
      </c>
      <c r="K41" s="74">
        <f t="shared" si="0"/>
        <v>0</v>
      </c>
      <c r="L41" s="74">
        <f t="shared" si="0"/>
        <v>0</v>
      </c>
      <c r="M41" s="74">
        <f t="shared" si="0"/>
        <v>8.6400000000000005E-2</v>
      </c>
      <c r="N41" s="74">
        <f t="shared" si="0"/>
        <v>8.6400000000000005E-2</v>
      </c>
      <c r="O41" s="74">
        <f t="shared" si="0"/>
        <v>0</v>
      </c>
      <c r="P41" s="74">
        <f t="shared" si="0"/>
        <v>0</v>
      </c>
      <c r="Q41" s="74">
        <f t="shared" si="0"/>
        <v>0</v>
      </c>
      <c r="R41" s="74">
        <f t="shared" si="0"/>
        <v>0</v>
      </c>
      <c r="S41" s="74">
        <f t="shared" si="0"/>
        <v>0.89749999999999996</v>
      </c>
      <c r="T41" s="74"/>
    </row>
    <row r="42" spans="1:20">
      <c r="A42" s="2"/>
    </row>
    <row r="43" spans="1:20">
      <c r="A43" s="94" t="s">
        <v>126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>
      <c r="A44" s="97" t="s">
        <v>127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>
      <c r="A45" s="97" t="s">
        <v>128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>
      <c r="A46" s="97" t="s">
        <v>129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>
      <c r="A47" s="94" t="s">
        <v>25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</sheetData>
  <mergeCells count="39"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>
      <selection activeCell="E36" sqref="E36"/>
    </sheetView>
  </sheetViews>
  <sheetFormatPr defaultRowHeight="15"/>
  <cols>
    <col min="1" max="1" width="5" style="1" customWidth="1"/>
    <col min="2" max="2" width="34.7109375" style="1" customWidth="1"/>
    <col min="3" max="4" width="9.140625" style="1"/>
    <col min="5" max="5" width="10.5703125" style="1" customWidth="1"/>
    <col min="6" max="6" width="10.7109375" style="1" customWidth="1"/>
    <col min="7" max="7" width="9.140625" style="1"/>
    <col min="8" max="8" width="11.42578125" style="1" customWidth="1"/>
    <col min="9" max="10" width="9.140625" style="1"/>
    <col min="11" max="11" width="11.140625" style="1" customWidth="1"/>
    <col min="12" max="13" width="9.140625" style="1"/>
    <col min="14" max="14" width="11.140625" style="1" customWidth="1"/>
    <col min="15" max="16" width="9.140625" style="1"/>
    <col min="17" max="17" width="11" style="1" customWidth="1"/>
    <col min="18" max="16384" width="9.140625" style="1"/>
  </cols>
  <sheetData>
    <row r="1" spans="1:18" s="3" customFormat="1" ht="15.75">
      <c r="A1" s="76" t="s">
        <v>236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8">
      <c r="A2" s="11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8" ht="56.25" customHeight="1">
      <c r="A3" s="105" t="s">
        <v>237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95"/>
      <c r="O3" s="95"/>
      <c r="P3" s="95"/>
      <c r="Q3" s="95"/>
      <c r="R3" s="95"/>
    </row>
    <row r="4" spans="1:18">
      <c r="A4" s="105" t="s">
        <v>123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95"/>
      <c r="O4" s="95"/>
      <c r="P4" s="95"/>
      <c r="Q4" s="95"/>
      <c r="R4" s="95"/>
    </row>
    <row r="5" spans="1:18">
      <c r="A5" s="107" t="s">
        <v>125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>
      <c r="A6" s="107" t="s">
        <v>122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>
      <c r="A7" s="107" t="s">
        <v>124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>
      <c r="A8" s="105" t="s">
        <v>27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95"/>
      <c r="O8" s="95"/>
      <c r="P8" s="95"/>
      <c r="Q8" s="95"/>
      <c r="R8" s="95"/>
    </row>
    <row r="9" spans="1:18">
      <c r="A9" s="105" t="s">
        <v>28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8">
      <c r="A10" s="2"/>
    </row>
    <row r="11" spans="1:18">
      <c r="A11" s="96" t="s">
        <v>2</v>
      </c>
      <c r="B11" s="96" t="s">
        <v>0</v>
      </c>
      <c r="C11" s="96" t="s">
        <v>29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 t="s">
        <v>30</v>
      </c>
    </row>
    <row r="12" spans="1:18" ht="25.5" customHeight="1">
      <c r="A12" s="96"/>
      <c r="B12" s="96"/>
      <c r="C12" s="96" t="s">
        <v>31</v>
      </c>
      <c r="D12" s="96"/>
      <c r="E12" s="96"/>
      <c r="F12" s="96" t="s">
        <v>32</v>
      </c>
      <c r="G12" s="96"/>
      <c r="H12" s="96"/>
      <c r="I12" s="96" t="s">
        <v>33</v>
      </c>
      <c r="J12" s="96"/>
      <c r="K12" s="96"/>
      <c r="L12" s="96" t="s">
        <v>34</v>
      </c>
      <c r="M12" s="96"/>
      <c r="N12" s="96"/>
      <c r="O12" s="96" t="s">
        <v>35</v>
      </c>
      <c r="P12" s="96"/>
      <c r="Q12" s="96"/>
      <c r="R12" s="96"/>
    </row>
    <row r="13" spans="1:18" ht="51">
      <c r="A13" s="96"/>
      <c r="B13" s="96"/>
      <c r="C13" s="36" t="s">
        <v>3</v>
      </c>
      <c r="D13" s="36" t="s">
        <v>4</v>
      </c>
      <c r="E13" s="36" t="s">
        <v>36</v>
      </c>
      <c r="F13" s="36" t="s">
        <v>3</v>
      </c>
      <c r="G13" s="36" t="s">
        <v>4</v>
      </c>
      <c r="H13" s="36" t="s">
        <v>36</v>
      </c>
      <c r="I13" s="36" t="s">
        <v>3</v>
      </c>
      <c r="J13" s="36" t="s">
        <v>4</v>
      </c>
      <c r="K13" s="36" t="s">
        <v>36</v>
      </c>
      <c r="L13" s="36" t="s">
        <v>3</v>
      </c>
      <c r="M13" s="36" t="s">
        <v>4</v>
      </c>
      <c r="N13" s="36" t="s">
        <v>36</v>
      </c>
      <c r="O13" s="36" t="s">
        <v>3</v>
      </c>
      <c r="P13" s="36" t="s">
        <v>4</v>
      </c>
      <c r="Q13" s="36" t="s">
        <v>36</v>
      </c>
      <c r="R13" s="39"/>
    </row>
    <row r="14" spans="1:18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  <c r="P14" s="36">
        <v>16</v>
      </c>
      <c r="Q14" s="36">
        <v>17</v>
      </c>
      <c r="R14" s="36">
        <v>18</v>
      </c>
    </row>
    <row r="15" spans="1:18" ht="38.25">
      <c r="A15" s="36">
        <v>1</v>
      </c>
      <c r="B15" s="40" t="s">
        <v>37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</row>
    <row r="16" spans="1:18" ht="63.75">
      <c r="A16" s="36">
        <v>2</v>
      </c>
      <c r="B16" s="39" t="s">
        <v>38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18" ht="102">
      <c r="A17" s="36">
        <v>3</v>
      </c>
      <c r="B17" s="39" t="s">
        <v>39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>
      <c r="A18" s="41" t="s">
        <v>107</v>
      </c>
      <c r="B18" s="39" t="s">
        <v>40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</row>
    <row r="19" spans="1:18">
      <c r="A19" s="41" t="s">
        <v>108</v>
      </c>
      <c r="B19" s="39" t="s">
        <v>41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</row>
    <row r="20" spans="1:18" ht="63.75">
      <c r="A20" s="36">
        <v>4</v>
      </c>
      <c r="B20" s="39" t="s">
        <v>42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ht="51">
      <c r="A21" s="36">
        <v>5</v>
      </c>
      <c r="B21" s="39" t="s">
        <v>43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</row>
    <row r="22" spans="1:18" ht="51">
      <c r="A22" s="36">
        <v>6</v>
      </c>
      <c r="B22" s="39" t="s">
        <v>44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</row>
    <row r="23" spans="1:18" ht="89.25">
      <c r="A23" s="36">
        <v>7</v>
      </c>
      <c r="B23" s="39" t="s">
        <v>45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</row>
    <row r="24" spans="1:18">
      <c r="A24" s="41" t="s">
        <v>116</v>
      </c>
      <c r="B24" s="39" t="s">
        <v>40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</row>
    <row r="25" spans="1:18">
      <c r="A25" s="41" t="s">
        <v>117</v>
      </c>
      <c r="B25" s="39" t="s">
        <v>46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</row>
    <row r="26" spans="1:18" ht="51">
      <c r="A26" s="36">
        <v>8</v>
      </c>
      <c r="B26" s="39" t="s">
        <v>47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8">
      <c r="A27" s="2"/>
    </row>
    <row r="28" spans="1:18" ht="33.75" customHeight="1">
      <c r="A28" s="103" t="s">
        <v>48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28.5" customHeight="1">
      <c r="A29" s="97" t="s">
        <v>238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>
      <c r="B30" s="96" t="s">
        <v>49</v>
      </c>
      <c r="C30" s="96"/>
      <c r="D30" s="96"/>
      <c r="E30" s="96">
        <v>15</v>
      </c>
      <c r="F30" s="96"/>
      <c r="G30" s="96">
        <v>150</v>
      </c>
      <c r="H30" s="96"/>
      <c r="I30" s="96">
        <v>250</v>
      </c>
      <c r="J30" s="96"/>
      <c r="K30" s="96">
        <v>670</v>
      </c>
      <c r="L30" s="96"/>
    </row>
    <row r="31" spans="1:18">
      <c r="B31" s="96" t="s">
        <v>50</v>
      </c>
      <c r="C31" s="96"/>
      <c r="D31" s="96"/>
      <c r="E31" s="36" t="s">
        <v>51</v>
      </c>
      <c r="F31" s="36" t="s">
        <v>52</v>
      </c>
      <c r="G31" s="36" t="s">
        <v>51</v>
      </c>
      <c r="H31" s="36" t="s">
        <v>52</v>
      </c>
      <c r="I31" s="36" t="s">
        <v>51</v>
      </c>
      <c r="J31" s="36" t="s">
        <v>52</v>
      </c>
      <c r="K31" s="36" t="s">
        <v>51</v>
      </c>
      <c r="L31" s="36" t="s">
        <v>52</v>
      </c>
    </row>
    <row r="32" spans="1:18" ht="114.75">
      <c r="B32" s="36" t="s">
        <v>53</v>
      </c>
      <c r="C32" s="36" t="s">
        <v>54</v>
      </c>
      <c r="D32" s="36" t="s">
        <v>55</v>
      </c>
      <c r="E32" s="67" t="s">
        <v>247</v>
      </c>
      <c r="F32" s="67" t="s">
        <v>248</v>
      </c>
      <c r="G32" s="67" t="s">
        <v>247</v>
      </c>
      <c r="H32" s="67" t="s">
        <v>247</v>
      </c>
      <c r="I32" s="67" t="s">
        <v>247</v>
      </c>
      <c r="J32" s="67" t="s">
        <v>247</v>
      </c>
      <c r="K32" s="67" t="s">
        <v>247</v>
      </c>
      <c r="L32" s="67" t="s">
        <v>247</v>
      </c>
    </row>
    <row r="33" spans="2:12">
      <c r="B33" s="102" t="s">
        <v>249</v>
      </c>
      <c r="C33" s="102" t="s">
        <v>56</v>
      </c>
      <c r="D33" s="58" t="s">
        <v>57</v>
      </c>
      <c r="E33" s="68">
        <f>(66.91*15+2*(315089.02*0.3)+539.96*15)</f>
        <v>198156.462</v>
      </c>
      <c r="F33" s="108">
        <v>550</v>
      </c>
      <c r="G33" s="68">
        <f>(66.91*150+2*(315089.02*0.3)+539.96*150)</f>
        <v>280083.91200000001</v>
      </c>
      <c r="H33" s="68">
        <f>66.91*150+(315089.02*0.3)+539.96*150</f>
        <v>185557.20600000001</v>
      </c>
      <c r="I33" s="68">
        <f>(66.91*250+2*(630178.54*0.3)+1079.93*250)</f>
        <v>664817.12400000007</v>
      </c>
      <c r="J33" s="68">
        <f>66.91*250+(630178.54*0.3)+1079.93*250</f>
        <v>475763.56200000003</v>
      </c>
      <c r="K33" s="68">
        <f>(66.91*670+2*(630178.54*0.3)+1079.93*670)</f>
        <v>1146489.9240000001</v>
      </c>
      <c r="L33" s="68">
        <f>66.91*670+(630178.54*0.3)+1079.93*670</f>
        <v>957436.36200000008</v>
      </c>
    </row>
    <row r="34" spans="2:12">
      <c r="B34" s="102"/>
      <c r="C34" s="102"/>
      <c r="D34" s="58" t="s">
        <v>58</v>
      </c>
      <c r="E34" s="68">
        <f>(66.91*15+2*(157903.11*0.3)+539.96*15)</f>
        <v>103844.91599999998</v>
      </c>
      <c r="F34" s="109"/>
      <c r="G34" s="68">
        <f>(66.91*150+2*(157903.11*0.3)+539.96*150)</f>
        <v>185772.36599999998</v>
      </c>
      <c r="H34" s="68">
        <f>66.91*150+(157903.11*0.3)+539.96*150</f>
        <v>138401.43299999999</v>
      </c>
      <c r="I34" s="68">
        <f>(66.91*250+2*(315806.44*0.3)+1079.93*250)</f>
        <v>476193.864</v>
      </c>
      <c r="J34" s="68">
        <f>66.91*250+(315806.44*0.3)+1079.93*250</f>
        <v>381451.93200000003</v>
      </c>
      <c r="K34" s="68">
        <f>(66.91*670+2*(315806.44*0.3)+1079.93*670)</f>
        <v>957866.66400000011</v>
      </c>
      <c r="L34" s="68">
        <f>66.91*670+(315806.44*0.3)+1079.93*670</f>
        <v>863124.73200000008</v>
      </c>
    </row>
    <row r="35" spans="2:12">
      <c r="B35" s="102"/>
      <c r="C35" s="102" t="s">
        <v>59</v>
      </c>
      <c r="D35" s="58" t="s">
        <v>57</v>
      </c>
      <c r="E35" s="68">
        <f>(66.91*15+2*(315089.02*0.3))</f>
        <v>190057.06200000001</v>
      </c>
      <c r="F35" s="108">
        <v>550</v>
      </c>
      <c r="G35" s="68">
        <f>(66.91*150+2*(315089.02*0.3))</f>
        <v>199089.91200000001</v>
      </c>
      <c r="H35" s="68">
        <f>66.91*150+(315089.02*0.3)</f>
        <v>104563.20600000001</v>
      </c>
      <c r="I35" s="68">
        <f>(66.91*250+2*(630178.54*0.3))</f>
        <v>394834.62400000001</v>
      </c>
      <c r="J35" s="68">
        <f>66.91*250+(630178.54*0.3)</f>
        <v>205781.06200000001</v>
      </c>
      <c r="K35" s="68">
        <f>(66.91*670+2*(630178.54*0.3))</f>
        <v>422936.82400000002</v>
      </c>
      <c r="L35" s="68">
        <f>66.91*670+(630178.54*0.3)</f>
        <v>233883.26199999999</v>
      </c>
    </row>
    <row r="36" spans="2:12">
      <c r="B36" s="102"/>
      <c r="C36" s="102"/>
      <c r="D36" s="58" t="s">
        <v>58</v>
      </c>
      <c r="E36" s="68">
        <f>(66.91*15+2*(157903.11*0.3))</f>
        <v>95745.515999999989</v>
      </c>
      <c r="F36" s="110"/>
      <c r="G36" s="68">
        <f>(66.91*150+2*(157903.11*0.3))</f>
        <v>104778.36599999999</v>
      </c>
      <c r="H36" s="68">
        <f>66.91*150+(157903.11*0.3)</f>
        <v>57407.432999999997</v>
      </c>
      <c r="I36" s="68">
        <f>(66.91*250+2*(315806.44*0.3))</f>
        <v>206211.364</v>
      </c>
      <c r="J36" s="68">
        <f>66.91*250+(315806.44*0.3)</f>
        <v>111469.432</v>
      </c>
      <c r="K36" s="68">
        <f>(66.91*670+2*(315806.44*0.3))</f>
        <v>234313.56400000001</v>
      </c>
      <c r="L36" s="68">
        <f>66.91*670+(315806.44*0.3)</f>
        <v>139571.63199999998</v>
      </c>
    </row>
    <row r="37" spans="2:12">
      <c r="B37" s="102" t="s">
        <v>250</v>
      </c>
      <c r="C37" s="102" t="s">
        <v>56</v>
      </c>
      <c r="D37" s="37" t="s">
        <v>57</v>
      </c>
      <c r="E37" s="68">
        <f>(66.91*15+2*(315089.02*0.5)+539.96*15)</f>
        <v>324192.07000000007</v>
      </c>
      <c r="F37" s="108">
        <v>550</v>
      </c>
      <c r="G37" s="68">
        <f>(66.91*150+2*(315089.02*0.5)+539.96*150)</f>
        <v>406119.52</v>
      </c>
      <c r="H37" s="68">
        <f>66.91*150+(315089.02*0.5)+539.96*150</f>
        <v>248575.01</v>
      </c>
      <c r="I37" s="68">
        <f>(66.91*250+2*(630178.54*0.5)+1079.93*250)</f>
        <v>916888.54</v>
      </c>
      <c r="J37" s="68">
        <f>66.91*250+(630178.54*0.5)+1079.93*250</f>
        <v>601799.27</v>
      </c>
      <c r="K37" s="68">
        <f>(66.91*670+2*(630178.54*0.5)+1079.93*670)</f>
        <v>1398561.34</v>
      </c>
      <c r="L37" s="68">
        <f>66.91*670+(630178.54*0.5)+1079.93*670</f>
        <v>1083472.07</v>
      </c>
    </row>
    <row r="38" spans="2:12">
      <c r="B38" s="102"/>
      <c r="C38" s="102"/>
      <c r="D38" s="37" t="s">
        <v>58</v>
      </c>
      <c r="E38" s="68">
        <f>(66.91*15+2*(157903.11*0.5)+539.96*15)</f>
        <v>167006.15999999997</v>
      </c>
      <c r="F38" s="110"/>
      <c r="G38" s="68">
        <f>(66.91*150+2*(157903.11*0.5)+539.96*150)</f>
        <v>248933.61</v>
      </c>
      <c r="H38" s="68">
        <f>66.91*150+(157903.11*0.5)+539.96*150</f>
        <v>169982.05499999999</v>
      </c>
      <c r="I38" s="68">
        <f>(66.91*250+2*(315806.44*0.5)+1079.93*250)</f>
        <v>602516.43999999994</v>
      </c>
      <c r="J38" s="68">
        <f>66.91*250+(315806.44*0.5)+1079.93*250</f>
        <v>444613.22</v>
      </c>
      <c r="K38" s="68">
        <f>(66.91*670+2*(315806.44*0.5)+1079.93*670)</f>
        <v>1084189.2400000002</v>
      </c>
      <c r="L38" s="68">
        <f>66.91*670+(315806.44*0.5)+1079.93*670</f>
        <v>926286.02</v>
      </c>
    </row>
    <row r="39" spans="2:12">
      <c r="B39" s="102"/>
      <c r="C39" s="102" t="s">
        <v>59</v>
      </c>
      <c r="D39" s="37" t="s">
        <v>57</v>
      </c>
      <c r="E39" s="68">
        <f>(66.91*15+2*(315089.02*0.5))</f>
        <v>316092.67000000004</v>
      </c>
      <c r="F39" s="108">
        <v>550</v>
      </c>
      <c r="G39" s="68">
        <f>(66.91*150+2*(315089.02*0.5))</f>
        <v>325125.52</v>
      </c>
      <c r="H39" s="68">
        <f>66.91*150+(315089.02*0.5)</f>
        <v>167581.01</v>
      </c>
      <c r="I39" s="68">
        <f>(66.91*250+2*(630178.54*0.5))</f>
        <v>646906.04</v>
      </c>
      <c r="J39" s="68">
        <f>66.91*250+(630178.54*0.5)</f>
        <v>331816.77</v>
      </c>
      <c r="K39" s="68">
        <f>(66.91*670+2*(630178.54*0.5))</f>
        <v>675008.24</v>
      </c>
      <c r="L39" s="68">
        <f>66.91*670+(630178.54*0.5)</f>
        <v>359918.97000000003</v>
      </c>
    </row>
    <row r="40" spans="2:12">
      <c r="B40" s="102"/>
      <c r="C40" s="102"/>
      <c r="D40" s="37" t="s">
        <v>58</v>
      </c>
      <c r="E40" s="68">
        <f>(66.91*15+2*(157903.11*0.5))</f>
        <v>158906.75999999998</v>
      </c>
      <c r="F40" s="110"/>
      <c r="G40" s="68">
        <f>(66.91*150+2*(157903.11*0.5))</f>
        <v>167939.61</v>
      </c>
      <c r="H40" s="68">
        <f>66.91*150+(157903.11*0.5)</f>
        <v>88988.054999999993</v>
      </c>
      <c r="I40" s="68">
        <f>(66.91*250+2*(315806.44*0.5))</f>
        <v>332533.94</v>
      </c>
      <c r="J40" s="68">
        <f>66.91*250+(315806.44*0.5)</f>
        <v>174630.72</v>
      </c>
      <c r="K40" s="68">
        <f>(66.91*670+2*(315806.44*0.5))</f>
        <v>360636.14</v>
      </c>
      <c r="L40" s="68">
        <f>66.91*670+(315806.44*0.5)</f>
        <v>202732.91999999998</v>
      </c>
    </row>
    <row r="41" spans="2:12">
      <c r="B41" s="102">
        <v>750</v>
      </c>
      <c r="C41" s="102" t="s">
        <v>56</v>
      </c>
      <c r="D41" s="37" t="s">
        <v>57</v>
      </c>
      <c r="E41" s="68">
        <f>(66.91*15+2*(315089.02*0.75)+539.96*15)</f>
        <v>481736.58000000007</v>
      </c>
      <c r="F41" s="68">
        <f>66.91*15+(315089.02*0.75)+539.96*15</f>
        <v>245419.815</v>
      </c>
      <c r="G41" s="68">
        <f>(66.91*150+2*(315089.02*0.75)+539.96*150)</f>
        <v>563664.03</v>
      </c>
      <c r="H41" s="68">
        <f>66.91*150+(315089.02*0.75)+539.96*150</f>
        <v>327347.26500000001</v>
      </c>
      <c r="I41" s="68">
        <f>(66.91*250+2*(630178.54*0.75)+1079.93*250)</f>
        <v>1231977.81</v>
      </c>
      <c r="J41" s="68">
        <f>66.91*250+(630178.54*0.75)+1079.93*250</f>
        <v>759343.90500000003</v>
      </c>
      <c r="K41" s="68">
        <f>(66.91*670+2*(630178.54*0.75)+1079.93*670)</f>
        <v>1713650.61</v>
      </c>
      <c r="L41" s="68">
        <f>66.91*670+(630178.54*0.75)+1079.93*670</f>
        <v>1241016.7050000001</v>
      </c>
    </row>
    <row r="42" spans="2:12">
      <c r="B42" s="102"/>
      <c r="C42" s="102"/>
      <c r="D42" s="37" t="s">
        <v>58</v>
      </c>
      <c r="E42" s="68">
        <f>(66.91*15+2*(157903.11*0.75)+539.96*15)</f>
        <v>245957.71499999997</v>
      </c>
      <c r="F42" s="68">
        <f>66.91*15+(157903.11*0.75)+539.96*15</f>
        <v>127530.38249999998</v>
      </c>
      <c r="G42" s="68">
        <f>(66.91*150+2*(157903.11*0.75)+539.96*150)</f>
        <v>327885.16499999998</v>
      </c>
      <c r="H42" s="68">
        <f>66.91*150+(157903.11*0.75)+539.96*150</f>
        <v>209457.83249999999</v>
      </c>
      <c r="I42" s="68">
        <f>(66.91*250+2*(315806.44*0.75)+1079.93*250)</f>
        <v>760419.66</v>
      </c>
      <c r="J42" s="68">
        <f>66.91*250+(315806.44*0.75)+1079.93*250</f>
        <v>523564.83</v>
      </c>
      <c r="K42" s="68">
        <f>(66.91*670+2*(315806.44*0.75)+1079.93*670)</f>
        <v>1242092.4600000002</v>
      </c>
      <c r="L42" s="68">
        <f>66.91*670+(315806.44*0.75)+1079.93*670</f>
        <v>1005237.6300000001</v>
      </c>
    </row>
    <row r="43" spans="2:12">
      <c r="B43" s="102"/>
      <c r="C43" s="102" t="s">
        <v>59</v>
      </c>
      <c r="D43" s="37" t="s">
        <v>57</v>
      </c>
      <c r="E43" s="68">
        <f>(66.91*15+2*(315089.02*0.75))</f>
        <v>473637.18000000005</v>
      </c>
      <c r="F43" s="68">
        <f>66.91*15+(315089.02*0.75)</f>
        <v>237320.41500000001</v>
      </c>
      <c r="G43" s="68">
        <f>(66.91*150+2*(315089.02*0.75))</f>
        <v>482670.03</v>
      </c>
      <c r="H43" s="68">
        <f>66.91*150+(315089.02*0.75)</f>
        <v>246353.26500000001</v>
      </c>
      <c r="I43" s="68">
        <f>(66.91*250+2*(630178.54*0.75))</f>
        <v>961995.31</v>
      </c>
      <c r="J43" s="68">
        <f>66.91*250+(630178.54*0.75)</f>
        <v>489361.40500000003</v>
      </c>
      <c r="K43" s="68">
        <f>(66.91*670+2*(630178.54*0.75))</f>
        <v>990097.51</v>
      </c>
      <c r="L43" s="68">
        <f>66.91*670+(630178.54*0.75)</f>
        <v>517463.60500000004</v>
      </c>
    </row>
    <row r="44" spans="2:12">
      <c r="B44" s="102"/>
      <c r="C44" s="102"/>
      <c r="D44" s="37" t="s">
        <v>58</v>
      </c>
      <c r="E44" s="68">
        <f>(66.91*15+2*(157903.11*0.75))</f>
        <v>237858.31499999997</v>
      </c>
      <c r="F44" s="68">
        <f>66.91*15+(157903.11*0.75)</f>
        <v>119430.98249999998</v>
      </c>
      <c r="G44" s="68">
        <f>(66.91*150+2*(157903.11*0.75))</f>
        <v>246891.16499999998</v>
      </c>
      <c r="H44" s="68">
        <f>66.91*150+(157903.11*0.75)</f>
        <v>128463.83249999999</v>
      </c>
      <c r="I44" s="68">
        <f>(66.91*250+2*(315806.44*0.75))</f>
        <v>490437.16000000003</v>
      </c>
      <c r="J44" s="68">
        <f>66.91*250+(315806.44*0.75)</f>
        <v>253582.33000000002</v>
      </c>
      <c r="K44" s="68">
        <f>(66.91*670+2*(315806.44*0.75))</f>
        <v>518539.36000000004</v>
      </c>
      <c r="L44" s="68">
        <f>66.91*670+(315806.44*0.75)</f>
        <v>281684.53000000003</v>
      </c>
    </row>
    <row r="45" spans="2:12">
      <c r="B45" s="102">
        <v>1000</v>
      </c>
      <c r="C45" s="102" t="s">
        <v>56</v>
      </c>
      <c r="D45" s="37" t="s">
        <v>57</v>
      </c>
      <c r="E45" s="68">
        <f>(66.91*15+2*(315089.02*1)+539.96*15)</f>
        <v>639281.09000000008</v>
      </c>
      <c r="F45" s="68">
        <f>66.91*15+(315089.02*1)+539.96*15</f>
        <v>324192.07000000007</v>
      </c>
      <c r="G45" s="68">
        <f>(66.91*150+2*(315089.02*1)+539.96*150)</f>
        <v>721208.54</v>
      </c>
      <c r="H45" s="68">
        <f>66.91*150+(315089.02*1)+539.96*150</f>
        <v>406119.52</v>
      </c>
      <c r="I45" s="68">
        <f>(66.91*250+2*(630178.54*1)+1079.93*250)</f>
        <v>1547067.08</v>
      </c>
      <c r="J45" s="68">
        <f>66.91*250+(630178.54*1)+1079.93*250</f>
        <v>916888.54</v>
      </c>
      <c r="K45" s="68">
        <f>(66.91*670+2*(630178.54*1)+1079.93*670)</f>
        <v>2028739.8800000001</v>
      </c>
      <c r="L45" s="68">
        <f>66.91*670+(630178.54*1)+1079.93*670</f>
        <v>1398561.34</v>
      </c>
    </row>
    <row r="46" spans="2:12">
      <c r="B46" s="102"/>
      <c r="C46" s="102"/>
      <c r="D46" s="37" t="s">
        <v>58</v>
      </c>
      <c r="E46" s="68">
        <f>(66.91*15+2*(157903.11*1)+539.96*15)</f>
        <v>324909.27</v>
      </c>
      <c r="F46" s="68">
        <f>66.91*15+(157903.11*1)+539.96*15</f>
        <v>167006.15999999997</v>
      </c>
      <c r="G46" s="68">
        <f>(66.91*150+2*(157903.11*1)+539.96*150)</f>
        <v>406836.72</v>
      </c>
      <c r="H46" s="68">
        <f>66.91*150+(157903.11*1)+539.96*150</f>
        <v>248933.61</v>
      </c>
      <c r="I46" s="68">
        <f>(66.91*250+2*(315806.44*1)+1079.93*250)</f>
        <v>918322.88</v>
      </c>
      <c r="J46" s="68">
        <f>66.91*250+(315806.44*1)+1079.93*250</f>
        <v>602516.43999999994</v>
      </c>
      <c r="K46" s="68">
        <f>(66.91*670+2*(315806.44*1)+1079.93*670)</f>
        <v>1399995.6800000002</v>
      </c>
      <c r="L46" s="68">
        <f>66.91*670+(315806.44*1)+1079.93*670</f>
        <v>1084189.2400000002</v>
      </c>
    </row>
    <row r="47" spans="2:12">
      <c r="B47" s="102"/>
      <c r="C47" s="102" t="s">
        <v>59</v>
      </c>
      <c r="D47" s="37" t="s">
        <v>57</v>
      </c>
      <c r="E47" s="68">
        <f>(66.91*15+2*(315089.02*1))</f>
        <v>631181.69000000006</v>
      </c>
      <c r="F47" s="68">
        <f>66.91*15+(315089.02*1)</f>
        <v>316092.67000000004</v>
      </c>
      <c r="G47" s="68">
        <f>(66.91*150+2*(315089.02*1))</f>
        <v>640214.54</v>
      </c>
      <c r="H47" s="68">
        <f>66.91*150+(315089.02*1)</f>
        <v>325125.52</v>
      </c>
      <c r="I47" s="68">
        <f>(66.91*250+2*(630178.54*1))</f>
        <v>1277084.58</v>
      </c>
      <c r="J47" s="68">
        <f>66.91*250+(630178.54*1)</f>
        <v>646906.04</v>
      </c>
      <c r="K47" s="68">
        <f>(66.91*670+2*(630178.54*1))</f>
        <v>1305186.78</v>
      </c>
      <c r="L47" s="68">
        <f>66.91*250+(630178.54*1)</f>
        <v>646906.04</v>
      </c>
    </row>
    <row r="48" spans="2:12">
      <c r="B48" s="102"/>
      <c r="C48" s="102"/>
      <c r="D48" s="37" t="s">
        <v>58</v>
      </c>
      <c r="E48" s="68">
        <f>(66.91*15+2*(157903.11*1))</f>
        <v>316809.87</v>
      </c>
      <c r="F48" s="68">
        <f>66.91*15+(157903.11*1)</f>
        <v>158906.75999999998</v>
      </c>
      <c r="G48" s="68">
        <f>(66.91*150+2*(157903.11*1))</f>
        <v>325842.71999999997</v>
      </c>
      <c r="H48" s="68">
        <f>66.91*150+(157903.11*1)</f>
        <v>167939.61</v>
      </c>
      <c r="I48" s="68">
        <f>(66.91*250+2*(315806.44*1))</f>
        <v>648340.38</v>
      </c>
      <c r="J48" s="68">
        <f>66.91*250+(315806.44*1)</f>
        <v>332533.94</v>
      </c>
      <c r="K48" s="68">
        <f>(66.91*670+2*(315806.44*1))</f>
        <v>676442.58</v>
      </c>
      <c r="L48" s="68">
        <f>66.91*250+(315806.44*1)</f>
        <v>332533.94</v>
      </c>
    </row>
    <row r="49" spans="2:12">
      <c r="B49" s="102">
        <v>1250</v>
      </c>
      <c r="C49" s="102" t="s">
        <v>56</v>
      </c>
      <c r="D49" s="37" t="s">
        <v>57</v>
      </c>
      <c r="E49" s="68">
        <f>(66.91*15+2*(315089.02*1.25)+539.96*15)</f>
        <v>796825.60000000009</v>
      </c>
      <c r="F49" s="68">
        <f>66.91*15+(315089.02*1.25)+539.96*15</f>
        <v>402964.32500000007</v>
      </c>
      <c r="G49" s="68">
        <f>(66.91*150+2*(315089.02*1.25)+539.96*150)</f>
        <v>878753.05</v>
      </c>
      <c r="H49" s="68">
        <f>66.91*150+(315089.02*1.25)+539.96*150</f>
        <v>484891.77500000002</v>
      </c>
      <c r="I49" s="68">
        <f>(66.91*250+2*(630178.54*1.25)+1079.93*250)</f>
        <v>1862156.35</v>
      </c>
      <c r="J49" s="68">
        <f>66.91*250+(630178.54*1.25)+1079.93*250</f>
        <v>1074433.175</v>
      </c>
      <c r="K49" s="68">
        <f>(66.91*670+2*(630178.54*1.25)+1079.93*670)</f>
        <v>2343829.1500000004</v>
      </c>
      <c r="L49" s="68">
        <f>66.91*670+(630178.54*1.25)+1079.93*670</f>
        <v>1556105.9750000001</v>
      </c>
    </row>
    <row r="50" spans="2:12">
      <c r="B50" s="102"/>
      <c r="C50" s="102"/>
      <c r="D50" s="37" t="s">
        <v>58</v>
      </c>
      <c r="E50" s="68">
        <f>(66.91*15+2*(157903.11*1.25)+539.96*15)</f>
        <v>403860.82500000001</v>
      </c>
      <c r="F50" s="68">
        <f>66.91*15+(157903.11*1.25)+539.96*15</f>
        <v>206481.93749999997</v>
      </c>
      <c r="G50" s="68">
        <f>(66.91*150+2*(157903.11*1.25)+539.96*150)</f>
        <v>485788.27499999997</v>
      </c>
      <c r="H50" s="68">
        <f>66.91*150+(157903.11*1.25)+539.96*150</f>
        <v>288409.38749999995</v>
      </c>
      <c r="I50" s="68">
        <f>(66.91*250+2*(315806.44*1.25)+1079.93*250)</f>
        <v>1076226.1000000001</v>
      </c>
      <c r="J50" s="68">
        <f>66.91*250+(315806.44*1.25)+1079.93*250</f>
        <v>681468.05</v>
      </c>
      <c r="K50" s="68">
        <f>(66.91*670+2*(315806.44*1.25)+1079.93*670)</f>
        <v>1557898.9</v>
      </c>
      <c r="L50" s="68">
        <f>66.91*670+(315806.44*1.25)+1079.93*670</f>
        <v>1163140.8500000001</v>
      </c>
    </row>
    <row r="51" spans="2:12">
      <c r="B51" s="102"/>
      <c r="C51" s="102" t="s">
        <v>59</v>
      </c>
      <c r="D51" s="37" t="s">
        <v>57</v>
      </c>
      <c r="E51" s="68">
        <f>(66.91*15+2*(315089.02*1.25))</f>
        <v>788726.20000000007</v>
      </c>
      <c r="F51" s="68">
        <f>66.91*15+(315089.02*1.25)</f>
        <v>394864.92500000005</v>
      </c>
      <c r="G51" s="68">
        <f>(66.91*150+2*(315089.02*1.25))</f>
        <v>797759.05</v>
      </c>
      <c r="H51" s="68">
        <f>66.91*150+(315089.02*1.25)</f>
        <v>403897.77500000002</v>
      </c>
      <c r="I51" s="68">
        <f>(66.91*250+2*(630178.54*1.25))</f>
        <v>1592173.85</v>
      </c>
      <c r="J51" s="68">
        <f>66.91*250+(630178.54*1.25)</f>
        <v>804450.67500000005</v>
      </c>
      <c r="K51" s="68">
        <f>(66.91*670+2*(630178.54*1.25))</f>
        <v>1620276.05</v>
      </c>
      <c r="L51" s="68">
        <f>66.91*250+(630178.54*1.25)</f>
        <v>804450.67500000005</v>
      </c>
    </row>
    <row r="52" spans="2:12">
      <c r="B52" s="102"/>
      <c r="C52" s="102"/>
      <c r="D52" s="37" t="s">
        <v>58</v>
      </c>
      <c r="E52" s="68">
        <f>(66.91*15+2*(157903.11*1.25))</f>
        <v>395761.42499999999</v>
      </c>
      <c r="F52" s="68">
        <f>66.91*15+(157903.11*1.25)</f>
        <v>198382.53749999998</v>
      </c>
      <c r="G52" s="68">
        <f>(66.91*150+2*(157903.11*1.25))</f>
        <v>404794.27499999997</v>
      </c>
      <c r="H52" s="68">
        <f>66.91*150+(157903.11*1.25)</f>
        <v>207415.38749999998</v>
      </c>
      <c r="I52" s="68">
        <f>(66.91*250+2*(315806.44*1.25))</f>
        <v>806243.6</v>
      </c>
      <c r="J52" s="68">
        <f>66.91*250+(315806.44*1.25)</f>
        <v>411485.55</v>
      </c>
      <c r="K52" s="68">
        <f>(66.91*670+2*(315806.44*1.25))</f>
        <v>834345.79999999993</v>
      </c>
      <c r="L52" s="68">
        <f>66.91*250+(315806.44*1.25)</f>
        <v>411485.55</v>
      </c>
    </row>
    <row r="54" spans="2:12">
      <c r="B54" s="69" t="s">
        <v>251</v>
      </c>
      <c r="C54" s="19"/>
      <c r="D54" s="70"/>
    </row>
  </sheetData>
  <mergeCells count="45"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A29:R29"/>
    <mergeCell ref="C45:C46"/>
    <mergeCell ref="F33:F34"/>
    <mergeCell ref="F35:F36"/>
    <mergeCell ref="F37:F38"/>
    <mergeCell ref="F39:F40"/>
    <mergeCell ref="B33:B36"/>
    <mergeCell ref="K30:L30"/>
    <mergeCell ref="B37:B40"/>
    <mergeCell ref="C37:C38"/>
    <mergeCell ref="C39:C40"/>
    <mergeCell ref="B41:B44"/>
    <mergeCell ref="C41:C42"/>
    <mergeCell ref="C43:C44"/>
    <mergeCell ref="B31:D31"/>
    <mergeCell ref="B30:D30"/>
    <mergeCell ref="A28:R28"/>
    <mergeCell ref="A3:R3"/>
    <mergeCell ref="A4:R4"/>
    <mergeCell ref="A8:R8"/>
    <mergeCell ref="R11:R12"/>
    <mergeCell ref="A5:R5"/>
    <mergeCell ref="A6:R6"/>
    <mergeCell ref="A7:R7"/>
    <mergeCell ref="E30:F30"/>
    <mergeCell ref="G30:H30"/>
    <mergeCell ref="I30:J30"/>
    <mergeCell ref="C33:C34"/>
    <mergeCell ref="C35:C36"/>
    <mergeCell ref="B49:B52"/>
    <mergeCell ref="C49:C50"/>
    <mergeCell ref="C51:C52"/>
    <mergeCell ref="B45:B48"/>
    <mergeCell ref="C47:C48"/>
  </mergeCells>
  <pageMargins left="0.7" right="0.7" top="0.75" bottom="0.75" header="0.3" footer="0.3"/>
  <pageSetup paperSize="9" scale="32" orientation="landscape" horizontalDpi="180" verticalDpi="180" r:id="rId1"/>
  <ignoredErrors>
    <ignoredError sqref="L52 L47 L48 L49 L50 L51 K47:K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topLeftCell="A19" zoomScale="85" zoomScaleSheetLayoutView="85" workbookViewId="0">
      <selection activeCell="F2" sqref="F2"/>
    </sheetView>
  </sheetViews>
  <sheetFormatPr defaultColWidth="12.28515625" defaultRowHeight="15"/>
  <cols>
    <col min="1" max="1" width="5.85546875" style="8" customWidth="1"/>
    <col min="2" max="2" width="27" style="7" customWidth="1"/>
    <col min="3" max="3" width="17.28515625" style="7" customWidth="1"/>
    <col min="4" max="4" width="13.5703125" style="7" customWidth="1"/>
    <col min="5" max="5" width="12.28515625" style="7"/>
    <col min="6" max="6" width="9.42578125" style="7" customWidth="1"/>
    <col min="7" max="7" width="17" style="7" customWidth="1"/>
    <col min="8" max="8" width="13.5703125" style="7" customWidth="1"/>
    <col min="9" max="9" width="10" style="7" customWidth="1"/>
    <col min="10" max="10" width="12.140625" style="7" customWidth="1"/>
    <col min="11" max="11" width="14.140625" style="7" customWidth="1"/>
    <col min="12" max="12" width="9.140625" style="7" customWidth="1"/>
    <col min="13" max="13" width="9.5703125" style="7" customWidth="1"/>
    <col min="14" max="14" width="10.7109375" style="7" customWidth="1"/>
    <col min="15" max="16384" width="12.28515625" style="7"/>
  </cols>
  <sheetData>
    <row r="1" spans="1:17" ht="15.75">
      <c r="A1" s="116" t="s">
        <v>242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3" spans="1:17" s="48" customFormat="1" ht="51" customHeight="1">
      <c r="A3" s="105" t="s">
        <v>130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s="49" customFormat="1" ht="12.75">
      <c r="A4" s="113" t="s">
        <v>132</v>
      </c>
      <c r="B4" s="117" t="s">
        <v>60</v>
      </c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s="49" customFormat="1" ht="36" customHeight="1">
      <c r="A5" s="113"/>
      <c r="B5" s="117"/>
      <c r="C5" s="100" t="s">
        <v>62</v>
      </c>
      <c r="D5" s="100"/>
      <c r="E5" s="100"/>
      <c r="F5" s="100" t="s">
        <v>63</v>
      </c>
      <c r="G5" s="100"/>
      <c r="H5" s="100"/>
      <c r="I5" s="100" t="s">
        <v>64</v>
      </c>
      <c r="J5" s="100"/>
      <c r="K5" s="100"/>
      <c r="L5" s="100" t="s">
        <v>65</v>
      </c>
      <c r="M5" s="100"/>
      <c r="N5" s="100"/>
      <c r="O5" s="100" t="s">
        <v>66</v>
      </c>
      <c r="P5" s="100"/>
      <c r="Q5" s="100"/>
    </row>
    <row r="6" spans="1:17" s="49" customFormat="1" ht="51.75" customHeight="1">
      <c r="A6" s="113"/>
      <c r="B6" s="117"/>
      <c r="C6" s="43" t="s">
        <v>3</v>
      </c>
      <c r="D6" s="43" t="s">
        <v>131</v>
      </c>
      <c r="E6" s="43" t="s">
        <v>5</v>
      </c>
      <c r="F6" s="43" t="s">
        <v>3</v>
      </c>
      <c r="G6" s="43" t="s">
        <v>131</v>
      </c>
      <c r="H6" s="43" t="s">
        <v>5</v>
      </c>
      <c r="I6" s="43" t="s">
        <v>3</v>
      </c>
      <c r="J6" s="43" t="s">
        <v>131</v>
      </c>
      <c r="K6" s="43" t="s">
        <v>5</v>
      </c>
      <c r="L6" s="43" t="s">
        <v>3</v>
      </c>
      <c r="M6" s="43" t="s">
        <v>131</v>
      </c>
      <c r="N6" s="43" t="s">
        <v>5</v>
      </c>
      <c r="O6" s="43" t="s">
        <v>3</v>
      </c>
      <c r="P6" s="43" t="s">
        <v>131</v>
      </c>
      <c r="Q6" s="43" t="s">
        <v>5</v>
      </c>
    </row>
    <row r="7" spans="1:17" s="49" customFormat="1" ht="12.75">
      <c r="A7" s="50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</row>
    <row r="8" spans="1:17" s="49" customFormat="1" ht="25.5">
      <c r="A8" s="50">
        <v>1</v>
      </c>
      <c r="B8" s="51" t="s">
        <v>67</v>
      </c>
      <c r="C8" s="43" t="s">
        <v>154</v>
      </c>
      <c r="D8" s="43" t="s">
        <v>154</v>
      </c>
      <c r="E8" s="43" t="s">
        <v>154</v>
      </c>
      <c r="F8" s="43" t="s">
        <v>154</v>
      </c>
      <c r="G8" s="43" t="s">
        <v>154</v>
      </c>
      <c r="H8" s="43" t="s">
        <v>154</v>
      </c>
      <c r="I8" s="43" t="s">
        <v>154</v>
      </c>
      <c r="J8" s="43" t="s">
        <v>154</v>
      </c>
      <c r="K8" s="43" t="s">
        <v>154</v>
      </c>
      <c r="L8" s="43" t="s">
        <v>154</v>
      </c>
      <c r="M8" s="43" t="s">
        <v>154</v>
      </c>
      <c r="N8" s="43" t="s">
        <v>154</v>
      </c>
      <c r="O8" s="43" t="s">
        <v>154</v>
      </c>
      <c r="P8" s="43" t="s">
        <v>154</v>
      </c>
      <c r="Q8" s="43" t="s">
        <v>154</v>
      </c>
    </row>
    <row r="9" spans="1:17" s="48" customFormat="1" ht="25.5">
      <c r="A9" s="50" t="s">
        <v>133</v>
      </c>
      <c r="B9" s="52" t="s">
        <v>68</v>
      </c>
      <c r="C9" s="43" t="s">
        <v>154</v>
      </c>
      <c r="D9" s="43" t="s">
        <v>154</v>
      </c>
      <c r="E9" s="43" t="s">
        <v>154</v>
      </c>
      <c r="F9" s="43" t="s">
        <v>154</v>
      </c>
      <c r="G9" s="43" t="s">
        <v>154</v>
      </c>
      <c r="H9" s="43" t="s">
        <v>154</v>
      </c>
      <c r="I9" s="43" t="s">
        <v>154</v>
      </c>
      <c r="J9" s="43" t="s">
        <v>154</v>
      </c>
      <c r="K9" s="43" t="s">
        <v>154</v>
      </c>
      <c r="L9" s="43" t="s">
        <v>154</v>
      </c>
      <c r="M9" s="43" t="s">
        <v>154</v>
      </c>
      <c r="N9" s="43" t="s">
        <v>154</v>
      </c>
      <c r="O9" s="43" t="s">
        <v>154</v>
      </c>
      <c r="P9" s="43" t="s">
        <v>154</v>
      </c>
      <c r="Q9" s="43" t="s">
        <v>154</v>
      </c>
    </row>
    <row r="10" spans="1:17" s="48" customFormat="1" ht="38.25">
      <c r="A10" s="50" t="s">
        <v>134</v>
      </c>
      <c r="B10" s="52" t="s">
        <v>69</v>
      </c>
      <c r="C10" s="43" t="s">
        <v>154</v>
      </c>
      <c r="D10" s="43" t="s">
        <v>154</v>
      </c>
      <c r="E10" s="43" t="s">
        <v>154</v>
      </c>
      <c r="F10" s="43" t="s">
        <v>154</v>
      </c>
      <c r="G10" s="43" t="s">
        <v>154</v>
      </c>
      <c r="H10" s="43" t="s">
        <v>154</v>
      </c>
      <c r="I10" s="43" t="s">
        <v>154</v>
      </c>
      <c r="J10" s="43" t="s">
        <v>154</v>
      </c>
      <c r="K10" s="43" t="s">
        <v>154</v>
      </c>
      <c r="L10" s="43" t="s">
        <v>154</v>
      </c>
      <c r="M10" s="43" t="s">
        <v>154</v>
      </c>
      <c r="N10" s="43" t="s">
        <v>154</v>
      </c>
      <c r="O10" s="43" t="s">
        <v>154</v>
      </c>
      <c r="P10" s="43" t="s">
        <v>154</v>
      </c>
      <c r="Q10" s="43" t="s">
        <v>154</v>
      </c>
    </row>
    <row r="11" spans="1:17" s="48" customFormat="1" ht="25.5">
      <c r="A11" s="50" t="s">
        <v>135</v>
      </c>
      <c r="B11" s="52" t="s">
        <v>70</v>
      </c>
      <c r="C11" s="43" t="s">
        <v>154</v>
      </c>
      <c r="D11" s="43" t="s">
        <v>154</v>
      </c>
      <c r="E11" s="43" t="s">
        <v>154</v>
      </c>
      <c r="F11" s="43" t="s">
        <v>154</v>
      </c>
      <c r="G11" s="43" t="s">
        <v>154</v>
      </c>
      <c r="H11" s="43" t="s">
        <v>154</v>
      </c>
      <c r="I11" s="43" t="s">
        <v>154</v>
      </c>
      <c r="J11" s="43" t="s">
        <v>154</v>
      </c>
      <c r="K11" s="43" t="s">
        <v>154</v>
      </c>
      <c r="L11" s="43" t="s">
        <v>154</v>
      </c>
      <c r="M11" s="43" t="s">
        <v>154</v>
      </c>
      <c r="N11" s="43" t="s">
        <v>154</v>
      </c>
      <c r="O11" s="43" t="s">
        <v>154</v>
      </c>
      <c r="P11" s="43" t="s">
        <v>154</v>
      </c>
      <c r="Q11" s="43" t="s">
        <v>154</v>
      </c>
    </row>
    <row r="12" spans="1:17" s="48" customFormat="1" ht="12.75">
      <c r="A12" s="50" t="s">
        <v>136</v>
      </c>
      <c r="B12" s="52" t="s">
        <v>71</v>
      </c>
      <c r="C12" s="43" t="s">
        <v>154</v>
      </c>
      <c r="D12" s="43" t="s">
        <v>154</v>
      </c>
      <c r="E12" s="43" t="s">
        <v>154</v>
      </c>
      <c r="F12" s="43" t="s">
        <v>154</v>
      </c>
      <c r="G12" s="43" t="s">
        <v>154</v>
      </c>
      <c r="H12" s="43" t="s">
        <v>154</v>
      </c>
      <c r="I12" s="43" t="s">
        <v>154</v>
      </c>
      <c r="J12" s="43" t="s">
        <v>154</v>
      </c>
      <c r="K12" s="43" t="s">
        <v>154</v>
      </c>
      <c r="L12" s="43" t="s">
        <v>154</v>
      </c>
      <c r="M12" s="43" t="s">
        <v>154</v>
      </c>
      <c r="N12" s="43" t="s">
        <v>154</v>
      </c>
      <c r="O12" s="43" t="s">
        <v>154</v>
      </c>
      <c r="P12" s="43" t="s">
        <v>154</v>
      </c>
      <c r="Q12" s="43" t="s">
        <v>154</v>
      </c>
    </row>
    <row r="13" spans="1:17" s="48" customFormat="1" ht="25.5">
      <c r="A13" s="50" t="s">
        <v>137</v>
      </c>
      <c r="B13" s="52" t="s">
        <v>72</v>
      </c>
      <c r="C13" s="43" t="s">
        <v>154</v>
      </c>
      <c r="D13" s="43" t="s">
        <v>154</v>
      </c>
      <c r="E13" s="43" t="s">
        <v>154</v>
      </c>
      <c r="F13" s="43" t="s">
        <v>154</v>
      </c>
      <c r="G13" s="43" t="s">
        <v>154</v>
      </c>
      <c r="H13" s="43" t="s">
        <v>154</v>
      </c>
      <c r="I13" s="43" t="s">
        <v>154</v>
      </c>
      <c r="J13" s="43" t="s">
        <v>154</v>
      </c>
      <c r="K13" s="43" t="s">
        <v>154</v>
      </c>
      <c r="L13" s="43" t="s">
        <v>154</v>
      </c>
      <c r="M13" s="43" t="s">
        <v>154</v>
      </c>
      <c r="N13" s="43" t="s">
        <v>154</v>
      </c>
      <c r="O13" s="43" t="s">
        <v>154</v>
      </c>
      <c r="P13" s="43" t="s">
        <v>154</v>
      </c>
      <c r="Q13" s="43" t="s">
        <v>154</v>
      </c>
    </row>
    <row r="14" spans="1:17" s="48" customFormat="1" ht="12.75">
      <c r="A14" s="50" t="s">
        <v>138</v>
      </c>
      <c r="B14" s="52" t="s">
        <v>73</v>
      </c>
      <c r="C14" s="43" t="s">
        <v>154</v>
      </c>
      <c r="D14" s="43" t="s">
        <v>154</v>
      </c>
      <c r="E14" s="43" t="s">
        <v>154</v>
      </c>
      <c r="F14" s="43" t="s">
        <v>154</v>
      </c>
      <c r="G14" s="43" t="s">
        <v>154</v>
      </c>
      <c r="H14" s="43" t="s">
        <v>154</v>
      </c>
      <c r="I14" s="43" t="s">
        <v>154</v>
      </c>
      <c r="J14" s="43" t="s">
        <v>154</v>
      </c>
      <c r="K14" s="43" t="s">
        <v>154</v>
      </c>
      <c r="L14" s="43" t="s">
        <v>154</v>
      </c>
      <c r="M14" s="43" t="s">
        <v>154</v>
      </c>
      <c r="N14" s="43" t="s">
        <v>154</v>
      </c>
      <c r="O14" s="43" t="s">
        <v>154</v>
      </c>
      <c r="P14" s="43" t="s">
        <v>154</v>
      </c>
      <c r="Q14" s="43" t="s">
        <v>154</v>
      </c>
    </row>
    <row r="15" spans="1:17" s="48" customFormat="1" ht="12.75">
      <c r="A15" s="50" t="s">
        <v>139</v>
      </c>
      <c r="B15" s="52" t="s">
        <v>74</v>
      </c>
      <c r="C15" s="43" t="s">
        <v>154</v>
      </c>
      <c r="D15" s="43" t="s">
        <v>154</v>
      </c>
      <c r="E15" s="43" t="s">
        <v>154</v>
      </c>
      <c r="F15" s="43" t="s">
        <v>154</v>
      </c>
      <c r="G15" s="43" t="s">
        <v>154</v>
      </c>
      <c r="H15" s="43" t="s">
        <v>154</v>
      </c>
      <c r="I15" s="43" t="s">
        <v>154</v>
      </c>
      <c r="J15" s="43" t="s">
        <v>154</v>
      </c>
      <c r="K15" s="43" t="s">
        <v>154</v>
      </c>
      <c r="L15" s="43" t="s">
        <v>154</v>
      </c>
      <c r="M15" s="43" t="s">
        <v>154</v>
      </c>
      <c r="N15" s="43" t="s">
        <v>154</v>
      </c>
      <c r="O15" s="43" t="s">
        <v>154</v>
      </c>
      <c r="P15" s="43" t="s">
        <v>154</v>
      </c>
      <c r="Q15" s="43" t="s">
        <v>154</v>
      </c>
    </row>
    <row r="16" spans="1:17" s="48" customFormat="1" ht="38.25">
      <c r="A16" s="50" t="s">
        <v>140</v>
      </c>
      <c r="B16" s="52" t="s">
        <v>75</v>
      </c>
      <c r="C16" s="43" t="s">
        <v>154</v>
      </c>
      <c r="D16" s="43" t="s">
        <v>154</v>
      </c>
      <c r="E16" s="43" t="s">
        <v>154</v>
      </c>
      <c r="F16" s="43" t="s">
        <v>154</v>
      </c>
      <c r="G16" s="43" t="s">
        <v>154</v>
      </c>
      <c r="H16" s="43" t="s">
        <v>154</v>
      </c>
      <c r="I16" s="43" t="s">
        <v>154</v>
      </c>
      <c r="J16" s="43" t="s">
        <v>154</v>
      </c>
      <c r="K16" s="43" t="s">
        <v>154</v>
      </c>
      <c r="L16" s="43" t="s">
        <v>154</v>
      </c>
      <c r="M16" s="43" t="s">
        <v>154</v>
      </c>
      <c r="N16" s="43" t="s">
        <v>154</v>
      </c>
      <c r="O16" s="43" t="s">
        <v>154</v>
      </c>
      <c r="P16" s="43" t="s">
        <v>154</v>
      </c>
      <c r="Q16" s="43" t="s">
        <v>154</v>
      </c>
    </row>
    <row r="17" spans="1:17" s="48" customFormat="1" ht="25.5">
      <c r="A17" s="50" t="s">
        <v>141</v>
      </c>
      <c r="B17" s="52" t="s">
        <v>76</v>
      </c>
      <c r="C17" s="43" t="s">
        <v>154</v>
      </c>
      <c r="D17" s="43" t="s">
        <v>154</v>
      </c>
      <c r="E17" s="43" t="s">
        <v>154</v>
      </c>
      <c r="F17" s="43" t="s">
        <v>154</v>
      </c>
      <c r="G17" s="43" t="s">
        <v>154</v>
      </c>
      <c r="H17" s="43" t="s">
        <v>154</v>
      </c>
      <c r="I17" s="43" t="s">
        <v>154</v>
      </c>
      <c r="J17" s="43" t="s">
        <v>154</v>
      </c>
      <c r="K17" s="43" t="s">
        <v>154</v>
      </c>
      <c r="L17" s="43" t="s">
        <v>154</v>
      </c>
      <c r="M17" s="43" t="s">
        <v>154</v>
      </c>
      <c r="N17" s="43" t="s">
        <v>154</v>
      </c>
      <c r="O17" s="43" t="s">
        <v>154</v>
      </c>
      <c r="P17" s="43" t="s">
        <v>154</v>
      </c>
      <c r="Q17" s="43" t="s">
        <v>154</v>
      </c>
    </row>
    <row r="18" spans="1:17" s="48" customFormat="1" ht="25.5">
      <c r="A18" s="50" t="s">
        <v>142</v>
      </c>
      <c r="B18" s="52" t="s">
        <v>77</v>
      </c>
      <c r="C18" s="43" t="s">
        <v>154</v>
      </c>
      <c r="D18" s="43" t="s">
        <v>154</v>
      </c>
      <c r="E18" s="43" t="s">
        <v>154</v>
      </c>
      <c r="F18" s="43" t="s">
        <v>154</v>
      </c>
      <c r="G18" s="43" t="s">
        <v>154</v>
      </c>
      <c r="H18" s="43" t="s">
        <v>154</v>
      </c>
      <c r="I18" s="43" t="s">
        <v>154</v>
      </c>
      <c r="J18" s="43" t="s">
        <v>154</v>
      </c>
      <c r="K18" s="43" t="s">
        <v>154</v>
      </c>
      <c r="L18" s="43" t="s">
        <v>154</v>
      </c>
      <c r="M18" s="43" t="s">
        <v>154</v>
      </c>
      <c r="N18" s="43" t="s">
        <v>154</v>
      </c>
      <c r="O18" s="43" t="s">
        <v>154</v>
      </c>
      <c r="P18" s="43" t="s">
        <v>154</v>
      </c>
      <c r="Q18" s="43" t="s">
        <v>154</v>
      </c>
    </row>
    <row r="19" spans="1:17" s="48" customFormat="1" ht="38.25">
      <c r="A19" s="50" t="s">
        <v>143</v>
      </c>
      <c r="B19" s="52" t="s">
        <v>69</v>
      </c>
      <c r="C19" s="43" t="s">
        <v>154</v>
      </c>
      <c r="D19" s="43" t="s">
        <v>154</v>
      </c>
      <c r="E19" s="43" t="s">
        <v>154</v>
      </c>
      <c r="F19" s="43" t="s">
        <v>154</v>
      </c>
      <c r="G19" s="43" t="s">
        <v>154</v>
      </c>
      <c r="H19" s="43" t="s">
        <v>154</v>
      </c>
      <c r="I19" s="43" t="s">
        <v>154</v>
      </c>
      <c r="J19" s="43" t="s">
        <v>154</v>
      </c>
      <c r="K19" s="43" t="s">
        <v>154</v>
      </c>
      <c r="L19" s="43" t="s">
        <v>154</v>
      </c>
      <c r="M19" s="43" t="s">
        <v>154</v>
      </c>
      <c r="N19" s="43" t="s">
        <v>154</v>
      </c>
      <c r="O19" s="43" t="s">
        <v>154</v>
      </c>
      <c r="P19" s="43" t="s">
        <v>154</v>
      </c>
      <c r="Q19" s="43" t="s">
        <v>154</v>
      </c>
    </row>
    <row r="20" spans="1:17" s="48" customFormat="1" ht="25.5">
      <c r="A20" s="50" t="s">
        <v>144</v>
      </c>
      <c r="B20" s="52" t="s">
        <v>70</v>
      </c>
      <c r="C20" s="43" t="s">
        <v>154</v>
      </c>
      <c r="D20" s="43" t="s">
        <v>154</v>
      </c>
      <c r="E20" s="43" t="s">
        <v>154</v>
      </c>
      <c r="F20" s="43" t="s">
        <v>154</v>
      </c>
      <c r="G20" s="43" t="s">
        <v>154</v>
      </c>
      <c r="H20" s="43" t="s">
        <v>154</v>
      </c>
      <c r="I20" s="43" t="s">
        <v>154</v>
      </c>
      <c r="J20" s="43" t="s">
        <v>154</v>
      </c>
      <c r="K20" s="43" t="s">
        <v>154</v>
      </c>
      <c r="L20" s="43" t="s">
        <v>154</v>
      </c>
      <c r="M20" s="43" t="s">
        <v>154</v>
      </c>
      <c r="N20" s="43" t="s">
        <v>154</v>
      </c>
      <c r="O20" s="43" t="s">
        <v>154</v>
      </c>
      <c r="P20" s="43" t="s">
        <v>154</v>
      </c>
      <c r="Q20" s="43" t="s">
        <v>154</v>
      </c>
    </row>
    <row r="21" spans="1:17" s="48" customFormat="1" ht="12.75">
      <c r="A21" s="50" t="s">
        <v>145</v>
      </c>
      <c r="B21" s="52" t="s">
        <v>71</v>
      </c>
      <c r="C21" s="43" t="s">
        <v>154</v>
      </c>
      <c r="D21" s="43" t="s">
        <v>154</v>
      </c>
      <c r="E21" s="43" t="s">
        <v>154</v>
      </c>
      <c r="F21" s="43" t="s">
        <v>154</v>
      </c>
      <c r="G21" s="43" t="s">
        <v>154</v>
      </c>
      <c r="H21" s="43" t="s">
        <v>154</v>
      </c>
      <c r="I21" s="43" t="s">
        <v>154</v>
      </c>
      <c r="J21" s="43" t="s">
        <v>154</v>
      </c>
      <c r="K21" s="43" t="s">
        <v>154</v>
      </c>
      <c r="L21" s="43" t="s">
        <v>154</v>
      </c>
      <c r="M21" s="43" t="s">
        <v>154</v>
      </c>
      <c r="N21" s="43" t="s">
        <v>154</v>
      </c>
      <c r="O21" s="43" t="s">
        <v>154</v>
      </c>
      <c r="P21" s="43" t="s">
        <v>154</v>
      </c>
      <c r="Q21" s="43" t="s">
        <v>154</v>
      </c>
    </row>
    <row r="22" spans="1:17" s="48" customFormat="1" ht="38.25">
      <c r="A22" s="50" t="s">
        <v>146</v>
      </c>
      <c r="B22" s="52" t="s">
        <v>78</v>
      </c>
      <c r="C22" s="43" t="s">
        <v>154</v>
      </c>
      <c r="D22" s="43" t="s">
        <v>154</v>
      </c>
      <c r="E22" s="43" t="s">
        <v>154</v>
      </c>
      <c r="F22" s="43" t="s">
        <v>154</v>
      </c>
      <c r="G22" s="43" t="s">
        <v>154</v>
      </c>
      <c r="H22" s="43" t="s">
        <v>154</v>
      </c>
      <c r="I22" s="43" t="s">
        <v>154</v>
      </c>
      <c r="J22" s="43" t="s">
        <v>154</v>
      </c>
      <c r="K22" s="43" t="s">
        <v>154</v>
      </c>
      <c r="L22" s="43" t="s">
        <v>154</v>
      </c>
      <c r="M22" s="43" t="s">
        <v>154</v>
      </c>
      <c r="N22" s="43" t="s">
        <v>154</v>
      </c>
      <c r="O22" s="43" t="s">
        <v>154</v>
      </c>
      <c r="P22" s="43" t="s">
        <v>154</v>
      </c>
      <c r="Q22" s="43" t="s">
        <v>154</v>
      </c>
    </row>
    <row r="23" spans="1:17" s="48" customFormat="1" ht="12.75">
      <c r="A23" s="50" t="s">
        <v>147</v>
      </c>
      <c r="B23" s="52" t="s">
        <v>73</v>
      </c>
      <c r="C23" s="43" t="s">
        <v>154</v>
      </c>
      <c r="D23" s="43" t="s">
        <v>154</v>
      </c>
      <c r="E23" s="43" t="s">
        <v>154</v>
      </c>
      <c r="F23" s="43" t="s">
        <v>154</v>
      </c>
      <c r="G23" s="43" t="s">
        <v>154</v>
      </c>
      <c r="H23" s="43" t="s">
        <v>154</v>
      </c>
      <c r="I23" s="43" t="s">
        <v>154</v>
      </c>
      <c r="J23" s="43" t="s">
        <v>154</v>
      </c>
      <c r="K23" s="43" t="s">
        <v>154</v>
      </c>
      <c r="L23" s="43" t="s">
        <v>154</v>
      </c>
      <c r="M23" s="43" t="s">
        <v>154</v>
      </c>
      <c r="N23" s="43" t="s">
        <v>154</v>
      </c>
      <c r="O23" s="43" t="s">
        <v>154</v>
      </c>
      <c r="P23" s="43" t="s">
        <v>154</v>
      </c>
      <c r="Q23" s="43" t="s">
        <v>154</v>
      </c>
    </row>
    <row r="24" spans="1:17" s="48" customFormat="1" ht="12.75">
      <c r="A24" s="50" t="s">
        <v>149</v>
      </c>
      <c r="B24" s="52" t="s">
        <v>148</v>
      </c>
      <c r="C24" s="43" t="s">
        <v>154</v>
      </c>
      <c r="D24" s="43" t="s">
        <v>154</v>
      </c>
      <c r="E24" s="43" t="s">
        <v>154</v>
      </c>
      <c r="F24" s="43" t="s">
        <v>154</v>
      </c>
      <c r="G24" s="43" t="s">
        <v>154</v>
      </c>
      <c r="H24" s="43" t="s">
        <v>154</v>
      </c>
      <c r="I24" s="43" t="s">
        <v>154</v>
      </c>
      <c r="J24" s="43" t="s">
        <v>154</v>
      </c>
      <c r="K24" s="43" t="s">
        <v>154</v>
      </c>
      <c r="L24" s="43" t="s">
        <v>154</v>
      </c>
      <c r="M24" s="43" t="s">
        <v>154</v>
      </c>
      <c r="N24" s="43" t="s">
        <v>154</v>
      </c>
      <c r="O24" s="43" t="s">
        <v>154</v>
      </c>
      <c r="P24" s="43" t="s">
        <v>154</v>
      </c>
      <c r="Q24" s="43" t="s">
        <v>154</v>
      </c>
    </row>
    <row r="25" spans="1:17" s="48" customFormat="1" ht="25.5">
      <c r="A25" s="50" t="s">
        <v>150</v>
      </c>
      <c r="B25" s="52" t="s">
        <v>26</v>
      </c>
      <c r="C25" s="43" t="s">
        <v>154</v>
      </c>
      <c r="D25" s="43" t="s">
        <v>154</v>
      </c>
      <c r="E25" s="43" t="s">
        <v>154</v>
      </c>
      <c r="F25" s="43" t="s">
        <v>154</v>
      </c>
      <c r="G25" s="43" t="s">
        <v>154</v>
      </c>
      <c r="H25" s="43" t="s">
        <v>154</v>
      </c>
      <c r="I25" s="43" t="s">
        <v>154</v>
      </c>
      <c r="J25" s="43" t="s">
        <v>154</v>
      </c>
      <c r="K25" s="43" t="s">
        <v>154</v>
      </c>
      <c r="L25" s="43" t="s">
        <v>154</v>
      </c>
      <c r="M25" s="43" t="s">
        <v>154</v>
      </c>
      <c r="N25" s="43" t="s">
        <v>154</v>
      </c>
      <c r="O25" s="43" t="s">
        <v>154</v>
      </c>
      <c r="P25" s="43" t="s">
        <v>154</v>
      </c>
      <c r="Q25" s="43" t="s">
        <v>154</v>
      </c>
    </row>
    <row r="26" spans="1:17" s="48" customFormat="1" ht="38.25">
      <c r="A26" s="50" t="s">
        <v>151</v>
      </c>
      <c r="B26" s="52" t="s">
        <v>79</v>
      </c>
      <c r="C26" s="43" t="s">
        <v>154</v>
      </c>
      <c r="D26" s="43" t="s">
        <v>154</v>
      </c>
      <c r="E26" s="43" t="s">
        <v>154</v>
      </c>
      <c r="F26" s="43" t="s">
        <v>154</v>
      </c>
      <c r="G26" s="43" t="s">
        <v>154</v>
      </c>
      <c r="H26" s="43" t="s">
        <v>154</v>
      </c>
      <c r="I26" s="43" t="s">
        <v>154</v>
      </c>
      <c r="J26" s="43" t="s">
        <v>154</v>
      </c>
      <c r="K26" s="43" t="s">
        <v>154</v>
      </c>
      <c r="L26" s="43" t="s">
        <v>154</v>
      </c>
      <c r="M26" s="43" t="s">
        <v>154</v>
      </c>
      <c r="N26" s="43" t="s">
        <v>154</v>
      </c>
      <c r="O26" s="43" t="s">
        <v>154</v>
      </c>
      <c r="P26" s="43" t="s">
        <v>154</v>
      </c>
      <c r="Q26" s="43" t="s">
        <v>154</v>
      </c>
    </row>
    <row r="27" spans="1:17" s="48" customFormat="1" ht="25.5">
      <c r="A27" s="50" t="s">
        <v>152</v>
      </c>
      <c r="B27" s="52" t="s">
        <v>80</v>
      </c>
      <c r="C27" s="43" t="s">
        <v>154</v>
      </c>
      <c r="D27" s="43" t="s">
        <v>154</v>
      </c>
      <c r="E27" s="43" t="s">
        <v>154</v>
      </c>
      <c r="F27" s="43" t="s">
        <v>154</v>
      </c>
      <c r="G27" s="43" t="s">
        <v>154</v>
      </c>
      <c r="H27" s="43" t="s">
        <v>154</v>
      </c>
      <c r="I27" s="43" t="s">
        <v>154</v>
      </c>
      <c r="J27" s="43" t="s">
        <v>154</v>
      </c>
      <c r="K27" s="43" t="s">
        <v>154</v>
      </c>
      <c r="L27" s="43" t="s">
        <v>154</v>
      </c>
      <c r="M27" s="43" t="s">
        <v>154</v>
      </c>
      <c r="N27" s="43" t="s">
        <v>154</v>
      </c>
      <c r="O27" s="43" t="s">
        <v>154</v>
      </c>
      <c r="P27" s="43" t="s">
        <v>154</v>
      </c>
      <c r="Q27" s="43" t="s">
        <v>154</v>
      </c>
    </row>
    <row r="28" spans="1:17" s="48" customFormat="1" ht="12.75">
      <c r="A28" s="50" t="s">
        <v>153</v>
      </c>
      <c r="B28" s="52" t="s">
        <v>73</v>
      </c>
      <c r="C28" s="43" t="s">
        <v>154</v>
      </c>
      <c r="D28" s="43" t="s">
        <v>154</v>
      </c>
      <c r="E28" s="43" t="s">
        <v>154</v>
      </c>
      <c r="F28" s="43" t="s">
        <v>154</v>
      </c>
      <c r="G28" s="43" t="s">
        <v>154</v>
      </c>
      <c r="H28" s="43" t="s">
        <v>154</v>
      </c>
      <c r="I28" s="43" t="s">
        <v>154</v>
      </c>
      <c r="J28" s="43" t="s">
        <v>154</v>
      </c>
      <c r="K28" s="43" t="s">
        <v>154</v>
      </c>
      <c r="L28" s="43" t="s">
        <v>154</v>
      </c>
      <c r="M28" s="43" t="s">
        <v>154</v>
      </c>
      <c r="N28" s="43" t="s">
        <v>154</v>
      </c>
      <c r="O28" s="43" t="s">
        <v>154</v>
      </c>
      <c r="P28" s="43" t="s">
        <v>154</v>
      </c>
      <c r="Q28" s="43" t="s">
        <v>154</v>
      </c>
    </row>
    <row r="29" spans="1:17" s="48" customFormat="1" ht="12.75">
      <c r="A29" s="53"/>
    </row>
    <row r="30" spans="1:17" s="48" customFormat="1" ht="12.75">
      <c r="A30" s="105" t="s">
        <v>81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s="49" customFormat="1" ht="159" customHeight="1">
      <c r="A31" s="50" t="s">
        <v>132</v>
      </c>
      <c r="B31" s="43" t="s">
        <v>82</v>
      </c>
      <c r="C31" s="43" t="s">
        <v>83</v>
      </c>
      <c r="D31" s="43" t="s">
        <v>84</v>
      </c>
      <c r="E31" s="43" t="s">
        <v>85</v>
      </c>
      <c r="F31" s="43" t="s">
        <v>86</v>
      </c>
      <c r="G31" s="43" t="s">
        <v>87</v>
      </c>
      <c r="H31" s="43" t="s">
        <v>88</v>
      </c>
      <c r="I31" s="43" t="s">
        <v>89</v>
      </c>
      <c r="J31" s="43" t="s">
        <v>90</v>
      </c>
      <c r="K31" s="43" t="s">
        <v>91</v>
      </c>
    </row>
    <row r="32" spans="1:17" s="48" customFormat="1" ht="12.75">
      <c r="A32" s="54">
        <v>1</v>
      </c>
      <c r="B32" s="43">
        <v>2</v>
      </c>
      <c r="C32" s="54">
        <v>3</v>
      </c>
      <c r="D32" s="43">
        <v>4</v>
      </c>
      <c r="E32" s="54">
        <v>5</v>
      </c>
      <c r="F32" s="43">
        <v>6</v>
      </c>
      <c r="G32" s="54">
        <v>7</v>
      </c>
      <c r="H32" s="43">
        <v>8</v>
      </c>
      <c r="I32" s="54">
        <v>9</v>
      </c>
      <c r="J32" s="43">
        <v>10</v>
      </c>
      <c r="K32" s="54">
        <v>11</v>
      </c>
    </row>
    <row r="33" spans="1:17" s="48" customFormat="1" ht="98.25" customHeight="1">
      <c r="A33" s="50" t="s">
        <v>155</v>
      </c>
      <c r="B33" s="118" t="s">
        <v>157</v>
      </c>
      <c r="C33" s="52" t="s">
        <v>205</v>
      </c>
      <c r="D33" s="52" t="s">
        <v>158</v>
      </c>
      <c r="E33" s="52" t="s">
        <v>239</v>
      </c>
      <c r="F33" s="55" t="s">
        <v>204</v>
      </c>
      <c r="G33" s="118" t="s">
        <v>119</v>
      </c>
      <c r="H33" s="43" t="s">
        <v>154</v>
      </c>
      <c r="I33" s="43" t="s">
        <v>154</v>
      </c>
      <c r="J33" s="43" t="s">
        <v>154</v>
      </c>
      <c r="K33" s="43" t="s">
        <v>154</v>
      </c>
    </row>
    <row r="34" spans="1:17" s="48" customFormat="1" ht="183.75" customHeight="1">
      <c r="A34" s="50" t="s">
        <v>139</v>
      </c>
      <c r="B34" s="119"/>
      <c r="C34" s="52" t="s">
        <v>206</v>
      </c>
      <c r="D34" s="120" t="s">
        <v>240</v>
      </c>
      <c r="E34" s="120"/>
      <c r="F34" s="55" t="s">
        <v>120</v>
      </c>
      <c r="G34" s="119"/>
      <c r="H34" s="43" t="s">
        <v>154</v>
      </c>
      <c r="I34" s="43" t="s">
        <v>154</v>
      </c>
      <c r="J34" s="43" t="s">
        <v>154</v>
      </c>
      <c r="K34" s="43" t="s">
        <v>154</v>
      </c>
    </row>
    <row r="35" spans="1:17" s="48" customFormat="1" ht="12.75">
      <c r="A35" s="53"/>
    </row>
    <row r="36" spans="1:17" s="48" customFormat="1" ht="12.75">
      <c r="A36" s="105" t="s">
        <v>159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s="48" customFormat="1" ht="12.75">
      <c r="A37" s="53"/>
    </row>
    <row r="38" spans="1:17" s="48" customFormat="1" ht="12.75">
      <c r="A38" s="50" t="s">
        <v>132</v>
      </c>
      <c r="B38" s="43" t="s">
        <v>92</v>
      </c>
      <c r="C38" s="52"/>
      <c r="D38" s="52"/>
    </row>
    <row r="39" spans="1:17" s="48" customFormat="1" ht="89.25">
      <c r="A39" s="50" t="s">
        <v>155</v>
      </c>
      <c r="B39" s="52" t="s">
        <v>160</v>
      </c>
      <c r="C39" s="52" t="s">
        <v>93</v>
      </c>
      <c r="D39" s="43" t="s">
        <v>241</v>
      </c>
    </row>
    <row r="40" spans="1:17" s="48" customFormat="1" ht="51">
      <c r="A40" s="50" t="s">
        <v>139</v>
      </c>
      <c r="B40" s="52" t="s">
        <v>161</v>
      </c>
      <c r="C40" s="52" t="s">
        <v>94</v>
      </c>
      <c r="D40" s="43" t="s">
        <v>154</v>
      </c>
    </row>
    <row r="41" spans="1:17" s="48" customFormat="1" ht="51">
      <c r="A41" s="50" t="s">
        <v>140</v>
      </c>
      <c r="B41" s="52" t="s">
        <v>95</v>
      </c>
      <c r="C41" s="52" t="s">
        <v>94</v>
      </c>
      <c r="D41" s="43" t="s">
        <v>154</v>
      </c>
    </row>
    <row r="42" spans="1:17" s="48" customFormat="1" ht="63.75">
      <c r="A42" s="50" t="s">
        <v>143</v>
      </c>
      <c r="B42" s="52" t="s">
        <v>96</v>
      </c>
      <c r="C42" s="52" t="s">
        <v>94</v>
      </c>
      <c r="D42" s="43" t="s">
        <v>154</v>
      </c>
    </row>
    <row r="43" spans="1:17" s="48" customFormat="1" ht="63.75">
      <c r="A43" s="50" t="s">
        <v>149</v>
      </c>
      <c r="B43" s="52" t="s">
        <v>97</v>
      </c>
      <c r="C43" s="52" t="s">
        <v>162</v>
      </c>
      <c r="D43" s="43" t="s">
        <v>154</v>
      </c>
    </row>
    <row r="44" spans="1:17" s="48" customFormat="1" ht="63.75">
      <c r="A44" s="50" t="s">
        <v>156</v>
      </c>
      <c r="B44" s="52" t="s">
        <v>98</v>
      </c>
      <c r="C44" s="52" t="s">
        <v>162</v>
      </c>
      <c r="D44" s="43" t="s">
        <v>154</v>
      </c>
    </row>
    <row r="45" spans="1:17" s="48" customFormat="1" ht="12.75">
      <c r="A45" s="53"/>
    </row>
    <row r="46" spans="1:17" s="44" customFormat="1" ht="54" customHeight="1">
      <c r="A46" s="105" t="s">
        <v>163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7" s="48" customFormat="1" ht="15" customHeight="1">
      <c r="A47" s="105" t="s">
        <v>164</v>
      </c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7" s="48" customFormat="1" ht="12.75">
      <c r="A48" s="53"/>
    </row>
    <row r="49" spans="1:41" s="48" customFormat="1" ht="12.75">
      <c r="A49" s="105" t="s">
        <v>165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41" s="48" customFormat="1" ht="38.25" customHeight="1">
      <c r="A50" s="105" t="s">
        <v>166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1:41" s="48" customFormat="1" ht="12.75">
      <c r="A51" s="107" t="s">
        <v>167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1:41" s="48" customFormat="1" ht="12.75">
      <c r="A52" s="53"/>
    </row>
    <row r="53" spans="1:41" s="48" customFormat="1" ht="35.25" customHeight="1">
      <c r="A53" s="114" t="s">
        <v>168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  <row r="54" spans="1:41" s="48" customFormat="1" ht="12.75">
      <c r="A54" s="115" t="s">
        <v>169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41" s="48" customFormat="1" ht="12.75">
      <c r="A55" s="53"/>
    </row>
    <row r="56" spans="1:41" s="48" customFormat="1" ht="12.75">
      <c r="A56" s="114" t="s">
        <v>170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41" s="48" customFormat="1" ht="12.75">
      <c r="A57" s="107" t="s">
        <v>171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1:41" s="48" customFormat="1" ht="12.75">
      <c r="A58" s="107" t="s">
        <v>172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41" s="48" customFormat="1" ht="12.75">
      <c r="A59" s="53"/>
    </row>
    <row r="60" spans="1:41" s="48" customFormat="1" ht="12.75">
      <c r="A60" s="105" t="s">
        <v>173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  <row r="61" spans="1:41" s="49" customFormat="1" ht="39.75" customHeight="1">
      <c r="A61" s="113" t="s">
        <v>132</v>
      </c>
      <c r="B61" s="100" t="s">
        <v>174</v>
      </c>
      <c r="C61" s="100" t="s">
        <v>175</v>
      </c>
      <c r="D61" s="100" t="s">
        <v>176</v>
      </c>
      <c r="E61" s="100" t="s">
        <v>177</v>
      </c>
      <c r="F61" s="100"/>
      <c r="G61" s="100"/>
      <c r="H61" s="100"/>
      <c r="I61" s="100" t="s">
        <v>182</v>
      </c>
      <c r="J61" s="100"/>
      <c r="K61" s="100"/>
      <c r="L61" s="100"/>
      <c r="M61" s="100"/>
      <c r="N61" s="100"/>
      <c r="O61" s="100" t="s">
        <v>188</v>
      </c>
      <c r="P61" s="100"/>
      <c r="Q61" s="100"/>
      <c r="R61" s="100"/>
      <c r="S61" s="100"/>
      <c r="T61" s="100"/>
      <c r="U61" s="100"/>
      <c r="V61" s="100" t="s">
        <v>192</v>
      </c>
      <c r="W61" s="100"/>
      <c r="X61" s="100"/>
      <c r="Y61" s="100"/>
      <c r="Z61" s="100" t="s">
        <v>196</v>
      </c>
      <c r="AA61" s="100"/>
      <c r="AB61" s="100"/>
      <c r="AC61" s="100" t="s">
        <v>200</v>
      </c>
      <c r="AD61" s="100"/>
    </row>
    <row r="62" spans="1:41" s="49" customFormat="1" ht="211.5" customHeight="1">
      <c r="A62" s="113"/>
      <c r="B62" s="100"/>
      <c r="C62" s="100"/>
      <c r="D62" s="100"/>
      <c r="E62" s="56" t="s">
        <v>178</v>
      </c>
      <c r="F62" s="56" t="s">
        <v>179</v>
      </c>
      <c r="G62" s="56" t="s">
        <v>180</v>
      </c>
      <c r="H62" s="56" t="s">
        <v>181</v>
      </c>
      <c r="I62" s="56" t="s">
        <v>183</v>
      </c>
      <c r="J62" s="56" t="s">
        <v>184</v>
      </c>
      <c r="K62" s="56" t="s">
        <v>185</v>
      </c>
      <c r="L62" s="56" t="s">
        <v>186</v>
      </c>
      <c r="M62" s="56" t="s">
        <v>187</v>
      </c>
      <c r="N62" s="56" t="s">
        <v>66</v>
      </c>
      <c r="O62" s="56" t="s">
        <v>189</v>
      </c>
      <c r="P62" s="56" t="s">
        <v>190</v>
      </c>
      <c r="Q62" s="56" t="s">
        <v>191</v>
      </c>
      <c r="R62" s="56" t="s">
        <v>185</v>
      </c>
      <c r="S62" s="56" t="s">
        <v>186</v>
      </c>
      <c r="T62" s="56" t="s">
        <v>187</v>
      </c>
      <c r="U62" s="56" t="s">
        <v>66</v>
      </c>
      <c r="V62" s="56" t="s">
        <v>193</v>
      </c>
      <c r="W62" s="56" t="s">
        <v>194</v>
      </c>
      <c r="X62" s="56" t="s">
        <v>195</v>
      </c>
      <c r="Y62" s="56" t="s">
        <v>66</v>
      </c>
      <c r="Z62" s="56" t="s">
        <v>197</v>
      </c>
      <c r="AA62" s="56" t="s">
        <v>198</v>
      </c>
      <c r="AB62" s="56" t="s">
        <v>199</v>
      </c>
      <c r="AC62" s="56" t="s">
        <v>201</v>
      </c>
      <c r="AD62" s="56" t="s">
        <v>202</v>
      </c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41" s="48" customFormat="1" ht="12.75">
      <c r="A63" s="54">
        <v>1</v>
      </c>
      <c r="B63" s="43">
        <v>2</v>
      </c>
      <c r="C63" s="54">
        <v>3</v>
      </c>
      <c r="D63" s="43">
        <v>4</v>
      </c>
      <c r="E63" s="54">
        <v>5</v>
      </c>
      <c r="F63" s="43">
        <v>6</v>
      </c>
      <c r="G63" s="54">
        <v>7</v>
      </c>
      <c r="H63" s="43">
        <v>8</v>
      </c>
      <c r="I63" s="54">
        <v>9</v>
      </c>
      <c r="J63" s="43">
        <v>10</v>
      </c>
      <c r="K63" s="54">
        <v>11</v>
      </c>
      <c r="L63" s="43">
        <v>12</v>
      </c>
      <c r="M63" s="54">
        <v>13</v>
      </c>
      <c r="N63" s="43">
        <v>14</v>
      </c>
      <c r="O63" s="54">
        <v>15</v>
      </c>
      <c r="P63" s="43">
        <v>16</v>
      </c>
      <c r="Q63" s="54">
        <v>17</v>
      </c>
      <c r="R63" s="43">
        <v>18</v>
      </c>
      <c r="S63" s="54">
        <v>19</v>
      </c>
      <c r="T63" s="43">
        <v>20</v>
      </c>
      <c r="U63" s="54">
        <v>21</v>
      </c>
      <c r="V63" s="43">
        <v>22</v>
      </c>
      <c r="W63" s="54">
        <v>23</v>
      </c>
      <c r="X63" s="43">
        <v>24</v>
      </c>
      <c r="Y63" s="54">
        <v>25</v>
      </c>
      <c r="Z63" s="43">
        <v>26</v>
      </c>
      <c r="AA63" s="54">
        <v>27</v>
      </c>
      <c r="AB63" s="43">
        <v>28</v>
      </c>
      <c r="AC63" s="54">
        <v>29</v>
      </c>
      <c r="AD63" s="43">
        <v>30</v>
      </c>
    </row>
    <row r="64" spans="1:41" s="48" customFormat="1" ht="12.75">
      <c r="A64" s="50" t="s">
        <v>154</v>
      </c>
      <c r="B64" s="50" t="s">
        <v>154</v>
      </c>
      <c r="C64" s="50" t="s">
        <v>154</v>
      </c>
      <c r="D64" s="50" t="s">
        <v>154</v>
      </c>
      <c r="E64" s="50" t="s">
        <v>154</v>
      </c>
      <c r="F64" s="50" t="s">
        <v>154</v>
      </c>
      <c r="G64" s="50" t="s">
        <v>154</v>
      </c>
      <c r="H64" s="50" t="s">
        <v>154</v>
      </c>
      <c r="I64" s="50" t="s">
        <v>154</v>
      </c>
      <c r="J64" s="50" t="s">
        <v>154</v>
      </c>
      <c r="K64" s="50" t="s">
        <v>154</v>
      </c>
      <c r="L64" s="50" t="s">
        <v>154</v>
      </c>
      <c r="M64" s="50" t="s">
        <v>154</v>
      </c>
      <c r="N64" s="50" t="s">
        <v>154</v>
      </c>
      <c r="O64" s="50" t="s">
        <v>154</v>
      </c>
      <c r="P64" s="50" t="s">
        <v>154</v>
      </c>
      <c r="Q64" s="50" t="s">
        <v>154</v>
      </c>
      <c r="R64" s="50" t="s">
        <v>154</v>
      </c>
      <c r="S64" s="50" t="s">
        <v>154</v>
      </c>
      <c r="T64" s="50" t="s">
        <v>154</v>
      </c>
      <c r="U64" s="50" t="s">
        <v>154</v>
      </c>
      <c r="V64" s="50" t="s">
        <v>154</v>
      </c>
      <c r="W64" s="50" t="s">
        <v>154</v>
      </c>
      <c r="X64" s="50" t="s">
        <v>154</v>
      </c>
      <c r="Y64" s="50" t="s">
        <v>154</v>
      </c>
      <c r="Z64" s="50" t="s">
        <v>154</v>
      </c>
      <c r="AA64" s="50" t="s">
        <v>154</v>
      </c>
      <c r="AB64" s="50" t="s">
        <v>154</v>
      </c>
      <c r="AC64" s="50" t="s">
        <v>154</v>
      </c>
      <c r="AD64" s="50" t="s">
        <v>154</v>
      </c>
    </row>
    <row r="65" spans="1:12" s="48" customFormat="1" ht="12.75">
      <c r="A65" s="53"/>
    </row>
    <row r="66" spans="1:12" s="48" customFormat="1" ht="12.75">
      <c r="A66" s="112" t="s">
        <v>203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</sheetData>
  <mergeCells count="37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A66:L66"/>
    <mergeCell ref="I61:N61"/>
    <mergeCell ref="O61:U61"/>
    <mergeCell ref="V61:Y61"/>
    <mergeCell ref="Z61:AB61"/>
  </mergeCells>
  <pageMargins left="0.7" right="0.7" top="0.75" bottom="0.75" header="0.3" footer="0.3"/>
  <pageSetup paperSize="9" scale="34" orientation="landscape" r:id="rId1"/>
  <rowBreaks count="1" manualBreakCount="1">
    <brk id="35" max="16383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'1 Общ. инфор.'!Область_печати</vt:lpstr>
      <vt:lpstr>'2 Показат. кач. передача'!Область_печати</vt:lpstr>
      <vt:lpstr>'3 Показатели кач. тех. прис.'!Область_печати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2016-03-15T10:51:35Z</dcterms:modified>
</cp:coreProperties>
</file>