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86"/>
  </bookViews>
  <sheets>
    <sheet name="1 Общ. инфор." sheetId="8" r:id="rId1"/>
    <sheet name="2 Показат. кач. передача" sheetId="1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инфор.'!$A$1:$N$31</definedName>
    <definedName name="_xlnm.Print_Area" localSheetId="1">'2 Показат. кач. передача'!$A$1:$T$49</definedName>
    <definedName name="_xlnm.Print_Area" localSheetId="2">'3 Показатели кач. тех. прис.'!$A$1:$R$55</definedName>
  </definedNames>
  <calcPr calcId="125725"/>
</workbook>
</file>

<file path=xl/calcChain.xml><?xml version="1.0" encoding="utf-8"?>
<calcChain xmlns="http://schemas.openxmlformats.org/spreadsheetml/2006/main">
  <c r="S41" i="1"/>
  <c r="R41"/>
  <c r="Q41"/>
  <c r="P41"/>
  <c r="O41"/>
  <c r="L41"/>
  <c r="K41"/>
  <c r="H41"/>
  <c r="G41"/>
  <c r="D41"/>
  <c r="C41"/>
  <c r="N40"/>
  <c r="N41" s="1"/>
  <c r="M40"/>
  <c r="M41" s="1"/>
  <c r="J40"/>
  <c r="J41" s="1"/>
  <c r="I40"/>
  <c r="I41" s="1"/>
  <c r="E40"/>
  <c r="E41" s="1"/>
  <c r="E19"/>
  <c r="E23" s="1"/>
  <c r="E13"/>
  <c r="E18" s="1"/>
  <c r="D12"/>
  <c r="F40" s="1"/>
  <c r="F41" s="1"/>
  <c r="D11"/>
  <c r="C11"/>
  <c r="E7"/>
  <c r="E12" s="1"/>
  <c r="E11" l="1"/>
  <c r="E17"/>
  <c r="E24"/>
  <c r="L52" i="3" l="1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F52"/>
  <c r="F51"/>
  <c r="F50"/>
  <c r="F49"/>
  <c r="F48"/>
  <c r="F47"/>
  <c r="F46"/>
  <c r="F45"/>
  <c r="F44"/>
  <c r="F43"/>
  <c r="F42"/>
  <c r="F41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F8" i="8" l="1"/>
</calcChain>
</file>

<file path=xl/sharedStrings.xml><?xml version="1.0" encoding="utf-8"?>
<sst xmlns="http://schemas.openxmlformats.org/spreadsheetml/2006/main" count="853" uniqueCount="268">
  <si>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</si>
  <si>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</si>
  <si>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</si>
  <si>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</si>
  <si>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</si>
  <si>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</si>
  <si>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</si>
  <si>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</si>
  <si>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</si>
  <si>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</si>
  <si>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</si>
  <si>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</si>
  <si>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</si>
  <si>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</si>
  <si>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</si>
  <si>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</si>
  <si>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</si>
  <si>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</si>
  <si>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</si>
  <si>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</si>
  <si>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</si>
  <si>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</si>
  <si>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</si>
  <si>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</si>
  <si>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</si>
  <si>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</si>
  <si>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</si>
  <si>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</si>
  <si>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</si>
  <si>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</si>
  <si>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</si>
  <si>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</si>
  <si>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</si>
  <si>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</si>
  <si>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</si>
  <si>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</si>
  <si>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</si>
  <si>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</si>
  <si>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</si>
  <si>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</si>
  <si>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</si>
  <si>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</si>
  <si>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</si>
  <si>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</si>
  <si>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</si>
  <si>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</si>
  <si>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</si>
  <si>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</si>
  <si>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</si>
  <si>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</si>
  <si>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</si>
  <si>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</si>
  <si>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</si>
  <si>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</si>
  <si>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</si>
  <si>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</si>
  <si>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</si>
  <si>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</si>
  <si>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</si>
  <si>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</si>
  <si>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</si>
  <si>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</si>
  <si>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</si>
  <si>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</si>
  <si>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</si>
  <si>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</si>
  <si>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</si>
  <si>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</si>
  <si>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</si>
  <si>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</si>
  <si>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</si>
  <si>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</si>
  <si>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</si>
  <si>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</si>
  <si>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</si>
  <si>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</si>
  <si>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</si>
  <si>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</si>
  <si>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</si>
  <si>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</si>
  <si>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</si>
  <si>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</si>
  <si>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</si>
  <si>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</si>
  <si>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</si>
  <si>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</si>
  <si>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</si>
  <si>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</si>
  <si>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</si>
  <si>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</si>
  <si>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</si>
  <si>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</si>
  <si>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</si>
  <si>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</si>
  <si>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</si>
  <si>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</si>
  <si>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</si>
  <si>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</si>
  <si>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</si>
  <si>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</si>
  <si>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</si>
  <si>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</si>
  <si>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</si>
  <si>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</si>
  <si>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</si>
  <si>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</si>
  <si>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</si>
  <si>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</si>
  <si>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</si>
  <si>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</si>
  <si>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</si>
  <si>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</si>
  <si>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</si>
  <si>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</si>
  <si>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</si>
  <si>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</si>
  <si>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</si>
  <si>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</si>
  <si>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</si>
  <si>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</si>
  <si>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</si>
  <si>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</si>
  <si>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</si>
  <si>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</si>
  <si>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</si>
  <si>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</si>
  <si>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</si>
  <si>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</si>
  <si>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</si>
  <si>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</si>
  <si>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</si>
  <si>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</si>
  <si>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</si>
  <si>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</si>
  <si>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</si>
  <si>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</si>
  <si>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</si>
  <si>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</si>
  <si>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</si>
  <si>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</si>
  <si>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</si>
  <si>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</si>
  <si>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</si>
  <si>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</si>
  <si>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</si>
  <si>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</si>
  <si>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</si>
  <si>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</si>
  <si>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</si>
  <si>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</si>
  <si>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</si>
  <si>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</si>
  <si>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</si>
  <si>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</si>
  <si>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</si>
  <si>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</si>
  <si>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</si>
  <si>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</si>
  <si>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г. Омск, ул. 36-я Северная, 5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</si>
  <si>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</si>
  <si>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</si>
  <si>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</si>
  <si>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</si>
  <si>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</si>
  <si>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</si>
  <si>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</si>
  <si>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</si>
  <si>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</si>
  <si>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</si>
  <si>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</si>
  <si>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</si>
  <si>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</si>
  <si>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</si>
  <si>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</si>
  <si>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</si>
  <si>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</si>
  <si>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</si>
  <si>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</si>
  <si>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</si>
  <si>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</si>
  <si>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</si>
  <si>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</si>
  <si>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</si>
  <si>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</si>
  <si>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</si>
  <si>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</si>
  <si>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</si>
  <si>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</si>
  <si>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</si>
  <si>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</si>
  <si>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</si>
  <si>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</si>
  <si>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</si>
  <si>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</si>
  <si>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</si>
  <si>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</si>
  <si>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</si>
  <si>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</si>
  <si>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</si>
  <si>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</si>
  <si>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</si>
  <si>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</si>
  <si>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</si>
  <si>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</si>
  <si>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9:00 - 16:40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</si>
  <si>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</si>
  <si>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</si>
  <si>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</si>
  <si>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</si>
  <si>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</si>
  <si>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</si>
  <si>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</si>
  <si>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ФЛ (население)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</si>
  <si>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</si>
  <si>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</si>
  <si>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</si>
  <si>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ОДПУ в мжд</t>
  </si>
  <si>
    <t>безхоз</t>
  </si>
  <si>
    <t>АСКУЭ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</si>
  <si>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</si>
  <si>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ФЛ (население чжд)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</si>
  <si>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</si>
  <si>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</si>
  <si>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</si>
  <si>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</si>
  <si>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</si>
  <si>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</si>
  <si>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</si>
  <si>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</si>
  <si>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</si>
  <si>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</si>
  <si>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</si>
  <si>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</si>
  <si>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</si>
  <si>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11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</si>
  <si>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</si>
  <si>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</si>
  <si>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theme="1"/>
        <rFont val="Times New Roman"/>
        <family val="1"/>
        <charset val="204"/>
      </rPr>
      <t>Раскрытию не подлежит, ввиду отсутствия для ООО "Гранат" инвестиционной программы, утвержденной РЭК Омской области.</t>
    </r>
  </si>
  <si>
    <t>1. Стоимость услуг тех. присоединения к сетям ООО "Гранат" определяется согласно стандартизированным тарифным ставкам, установленными в редакции приказа РЭК Омской области №195/45 от 18.08.2015г. Расчет окончательной стоимости определяется по формулам, указанным в Приложении №4 настоящего приказа</t>
  </si>
  <si>
    <t>98-53-87; granat2112@mail.ru</t>
  </si>
  <si>
    <t>http://tso-granat.ru/centr-obsluzhivaniya-klientov/okno-podachi-zayavok-na-texnologicheskoe-prisoedinenie/</t>
  </si>
  <si>
    <t>98-53-87</t>
  </si>
  <si>
    <t>4. Качество обслуживания потребителей ООО "Гранат"</t>
  </si>
  <si>
    <t>3,62</t>
  </si>
  <si>
    <t>ТП/РП</t>
  </si>
  <si>
    <t>61%</t>
  </si>
  <si>
    <t>КЛ/ВЛ</t>
  </si>
  <si>
    <t>ЮЛ, ИП</t>
  </si>
  <si>
    <t>ЮЛ, ИП, ФЛ-льготники (СНТ, ГСК, церкви, объединения гаражей, сараев и т.д.)</t>
  </si>
  <si>
    <t>300 - городская местность</t>
  </si>
  <si>
    <t>500 - сельская местность</t>
  </si>
  <si>
    <t>Выполненный расчет является ориентировочным, итоговый расчет будет произведен после подачи Вами заявки на ТП при подготовке договора об осуществлении технологического присоединения.</t>
  </si>
  <si>
    <t>2015 год (факт)</t>
  </si>
  <si>
    <t>40</t>
  </si>
  <si>
    <t>52</t>
  </si>
  <si>
    <t>7</t>
  </si>
  <si>
    <t>8</t>
  </si>
  <si>
    <t>9</t>
  </si>
  <si>
    <t>10</t>
  </si>
  <si>
    <t>2016 год (прогноз)</t>
  </si>
  <si>
    <t>14</t>
  </si>
  <si>
    <t>69</t>
  </si>
  <si>
    <t>2. Информация о качестве услуг по передаче электрической энергии по сетям сетевой организации ООО "Гранат" на 2016 год (прогнозная информация)</t>
  </si>
  <si>
    <t>14,2</t>
  </si>
  <si>
    <t>0,7</t>
  </si>
  <si>
    <t>16,92</t>
  </si>
  <si>
    <t>55%</t>
  </si>
  <si>
    <t>ООО "Гранат"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</si>
</sst>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/>
    <xf numFmtId="49" fontId="1" fillId="0" borderId="6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16" fontId="2" fillId="0" borderId="1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180" wrapText="1"/>
    </xf>
    <xf numFmtId="2" fontId="2" fillId="0" borderId="0" xfId="0" applyNumberFormat="1" applyFont="1" applyAlignment="1">
      <alignment horizontal="center" vertical="center" textRotation="180" wrapText="1"/>
    </xf>
    <xf numFmtId="0" fontId="2" fillId="0" borderId="1" xfId="0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3" borderId="1" xfId="0" applyFont="1" applyFill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0" fillId="0" borderId="17" xfId="0" applyBorder="1"/>
    <xf numFmtId="3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" fontId="2" fillId="0" borderId="0" xfId="0" applyNumberFormat="1" applyFont="1" applyAlignment="1">
      <alignment horizontal="left" vertical="center" wrapText="1"/>
    </xf>
    <xf numFmtId="16" fontId="4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28575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15811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2924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1562100</xdr:colOff>
      <xdr:row>18</xdr:row>
      <xdr:rowOff>609599</xdr:rowOff>
    </xdr:from>
    <xdr:to>
      <xdr:col>1</xdr:col>
      <xdr:colOff>2362200</xdr:colOff>
      <xdr:row>19</xdr:row>
      <xdr:rowOff>57149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09775" y="4714874"/>
          <a:ext cx="800100" cy="2571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1685925</xdr:colOff>
      <xdr:row>24</xdr:row>
      <xdr:rowOff>600075</xdr:rowOff>
    </xdr:from>
    <xdr:to>
      <xdr:col>1</xdr:col>
      <xdr:colOff>2286000</xdr:colOff>
      <xdr:row>25</xdr:row>
      <xdr:rowOff>28575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133600" y="65151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14800" y="116586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296150" y="11687175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63125" y="117729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182475" y="11801475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view="pageBreakPreview" zoomScale="85" zoomScaleSheetLayoutView="85" workbookViewId="0">
      <selection activeCell="B29" sqref="B29:E29"/>
    </sheetView>
  </sheetViews>
  <sheetFormatPr defaultRowHeight="15"/>
  <cols>
    <col min="1" max="1" width="19" style="9" customWidth="1"/>
    <col min="2" max="2" width="15.42578125" style="9" customWidth="1"/>
    <col min="3" max="3" width="12.140625" style="9" customWidth="1"/>
    <col min="4" max="4" width="13.85546875" style="9" customWidth="1"/>
    <col min="5" max="5" width="13.28515625" style="1" customWidth="1"/>
    <col min="6" max="6" width="13.85546875" style="1" customWidth="1"/>
    <col min="7" max="7" width="13.140625" style="1" customWidth="1"/>
    <col min="8" max="8" width="11.7109375" style="1" customWidth="1"/>
    <col min="9" max="9" width="12.5703125" style="1" customWidth="1"/>
    <col min="10" max="10" width="12.85546875" style="1" customWidth="1"/>
    <col min="11" max="11" width="11.5703125" style="1" customWidth="1"/>
    <col min="12" max="12" width="12.5703125" style="1" customWidth="1"/>
    <col min="13" max="13" width="14.42578125" style="1" customWidth="1"/>
    <col min="14" max="14" width="11.5703125" style="1" customWidth="1"/>
    <col min="15" max="15" width="12.5703125" style="1" customWidth="1"/>
    <col min="16" max="16384" width="9.140625" style="1"/>
  </cols>
  <sheetData>
    <row r="1" spans="1:24" ht="15.75">
      <c r="A1" s="93" t="s">
        <v>233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3" spans="1:24" s="18" customFormat="1" ht="45.75" customHeight="1" thickBot="1">
      <c r="A3" s="83" t="s">
        <v>207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>
      <c r="A4" s="97" t="s">
        <v>209</v>
      </c>
      <c r="B4" s="90" t="s">
        <v>50</v>
      </c>
      <c r="C4" s="94" t="s">
        <v>252</v>
      </c>
      <c r="D4" s="95"/>
      <c r="E4" s="95"/>
      <c r="F4" s="96"/>
      <c r="G4" s="94" t="s">
        <v>259</v>
      </c>
      <c r="H4" s="95"/>
      <c r="I4" s="95"/>
      <c r="J4" s="96"/>
    </row>
    <row r="5" spans="1:24" s="10" customFormat="1">
      <c r="A5" s="97"/>
      <c r="B5" s="90"/>
      <c r="C5" s="32" t="s">
        <v>19</v>
      </c>
      <c r="D5" s="16" t="s">
        <v>20</v>
      </c>
      <c r="E5" s="14" t="s">
        <v>21</v>
      </c>
      <c r="F5" s="33" t="s">
        <v>22</v>
      </c>
      <c r="G5" s="32" t="s">
        <v>19</v>
      </c>
      <c r="H5" s="16" t="s">
        <v>20</v>
      </c>
      <c r="I5" s="14" t="s">
        <v>21</v>
      </c>
      <c r="J5" s="33" t="s">
        <v>22</v>
      </c>
    </row>
    <row r="6" spans="1:24" s="10" customFormat="1">
      <c r="A6" s="12" t="s">
        <v>155</v>
      </c>
      <c r="B6" s="22" t="s">
        <v>139</v>
      </c>
      <c r="C6" s="26" t="s">
        <v>149</v>
      </c>
      <c r="D6" s="12" t="s">
        <v>156</v>
      </c>
      <c r="E6" s="12" t="s">
        <v>210</v>
      </c>
      <c r="F6" s="27" t="s">
        <v>211</v>
      </c>
      <c r="G6" s="26" t="s">
        <v>255</v>
      </c>
      <c r="H6" s="12" t="s">
        <v>256</v>
      </c>
      <c r="I6" s="12" t="s">
        <v>257</v>
      </c>
      <c r="J6" s="27" t="s">
        <v>258</v>
      </c>
    </row>
    <row r="7" spans="1:24">
      <c r="A7" s="13" t="s">
        <v>208</v>
      </c>
      <c r="B7" s="20" t="s">
        <v>52</v>
      </c>
      <c r="C7" s="28" t="s">
        <v>154</v>
      </c>
      <c r="D7" s="11" t="s">
        <v>154</v>
      </c>
      <c r="E7" s="14">
        <v>30</v>
      </c>
      <c r="F7" s="33">
        <v>4</v>
      </c>
      <c r="G7" s="72" t="s">
        <v>154</v>
      </c>
      <c r="H7" s="73" t="s">
        <v>154</v>
      </c>
      <c r="I7" s="14">
        <v>37</v>
      </c>
      <c r="J7" s="33">
        <v>7</v>
      </c>
    </row>
    <row r="8" spans="1:24" ht="15.75" thickBot="1">
      <c r="A8" s="13" t="s">
        <v>212</v>
      </c>
      <c r="B8" s="20" t="s">
        <v>52</v>
      </c>
      <c r="C8" s="29" t="s">
        <v>154</v>
      </c>
      <c r="D8" s="34" t="s">
        <v>154</v>
      </c>
      <c r="E8" s="34" t="s">
        <v>155</v>
      </c>
      <c r="F8" s="35">
        <f>1+40</f>
        <v>41</v>
      </c>
      <c r="G8" s="29" t="s">
        <v>154</v>
      </c>
      <c r="H8" s="34" t="s">
        <v>154</v>
      </c>
      <c r="I8" s="34" t="s">
        <v>139</v>
      </c>
      <c r="J8" s="35">
        <v>41</v>
      </c>
    </row>
    <row r="10" spans="1:24" s="19" customFormat="1" ht="60" customHeight="1" thickBot="1">
      <c r="A10" s="83" t="s">
        <v>213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</row>
    <row r="11" spans="1:24" s="15" customFormat="1" ht="60">
      <c r="A11" s="98" t="s">
        <v>209</v>
      </c>
      <c r="B11" s="24" t="s">
        <v>214</v>
      </c>
      <c r="C11" s="25" t="s">
        <v>215</v>
      </c>
      <c r="D11" s="76" t="s">
        <v>214</v>
      </c>
      <c r="E11" s="75" t="s">
        <v>215</v>
      </c>
      <c r="F11" s="4"/>
      <c r="G11" s="4"/>
      <c r="H11" s="4"/>
      <c r="I11" s="4"/>
      <c r="J11" s="4"/>
    </row>
    <row r="12" spans="1:24" s="15" customFormat="1" ht="15" customHeight="1">
      <c r="A12" s="99"/>
      <c r="B12" s="100" t="s">
        <v>252</v>
      </c>
      <c r="C12" s="101"/>
      <c r="D12" s="100" t="s">
        <v>259</v>
      </c>
      <c r="E12" s="101"/>
      <c r="F12" s="4"/>
      <c r="G12" s="4"/>
      <c r="H12" s="4"/>
      <c r="I12" s="4"/>
      <c r="J12" s="4"/>
    </row>
    <row r="13" spans="1:24" s="15" customFormat="1">
      <c r="A13" s="22" t="s">
        <v>155</v>
      </c>
      <c r="B13" s="26" t="s">
        <v>139</v>
      </c>
      <c r="C13" s="27" t="s">
        <v>149</v>
      </c>
      <c r="D13" s="26" t="s">
        <v>156</v>
      </c>
      <c r="E13" s="27" t="s">
        <v>210</v>
      </c>
      <c r="F13" s="4"/>
      <c r="G13" s="4"/>
      <c r="H13" s="4"/>
      <c r="I13" s="4"/>
      <c r="J13" s="4"/>
    </row>
    <row r="14" spans="1:24">
      <c r="A14" s="23" t="s">
        <v>208</v>
      </c>
      <c r="B14" s="59" t="s">
        <v>254</v>
      </c>
      <c r="C14" s="61" t="s">
        <v>254</v>
      </c>
      <c r="D14" s="72" t="s">
        <v>261</v>
      </c>
      <c r="E14" s="74" t="s">
        <v>261</v>
      </c>
    </row>
    <row r="15" spans="1:24">
      <c r="A15" s="23" t="s">
        <v>220</v>
      </c>
      <c r="B15" s="59" t="s">
        <v>253</v>
      </c>
      <c r="C15" s="61" t="s">
        <v>253</v>
      </c>
      <c r="D15" s="72" t="s">
        <v>253</v>
      </c>
      <c r="E15" s="74" t="s">
        <v>253</v>
      </c>
    </row>
    <row r="16" spans="1:24">
      <c r="A16" s="23" t="s">
        <v>216</v>
      </c>
      <c r="B16" s="42" t="s">
        <v>234</v>
      </c>
      <c r="C16" s="31">
        <v>11</v>
      </c>
      <c r="D16" s="72" t="s">
        <v>260</v>
      </c>
      <c r="E16" s="31">
        <v>14</v>
      </c>
    </row>
    <row r="17" spans="1:14">
      <c r="A17" s="23" t="s">
        <v>217</v>
      </c>
      <c r="B17" s="28" t="s">
        <v>154</v>
      </c>
      <c r="C17" s="21" t="s">
        <v>154</v>
      </c>
      <c r="D17" s="72" t="s">
        <v>154</v>
      </c>
      <c r="E17" s="74" t="s">
        <v>154</v>
      </c>
    </row>
    <row r="18" spans="1:14" ht="15.75" thickBot="1">
      <c r="A18" s="23" t="s">
        <v>218</v>
      </c>
      <c r="B18" s="29" t="s">
        <v>154</v>
      </c>
      <c r="C18" s="30" t="s">
        <v>154</v>
      </c>
      <c r="D18" s="29" t="s">
        <v>154</v>
      </c>
      <c r="E18" s="30" t="s">
        <v>154</v>
      </c>
    </row>
    <row r="20" spans="1:14" ht="39.75" customHeight="1" thickBot="1">
      <c r="A20" s="83" t="s">
        <v>219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</row>
    <row r="21" spans="1:14" s="4" customFormat="1" ht="15" customHeight="1">
      <c r="A21" s="91" t="s">
        <v>221</v>
      </c>
      <c r="B21" s="85" t="s">
        <v>222</v>
      </c>
      <c r="C21" s="85"/>
      <c r="D21" s="85" t="s">
        <v>223</v>
      </c>
      <c r="E21" s="86"/>
      <c r="F21" s="91" t="s">
        <v>221</v>
      </c>
      <c r="G21" s="85" t="s">
        <v>222</v>
      </c>
      <c r="H21" s="85"/>
      <c r="I21" s="85" t="s">
        <v>223</v>
      </c>
      <c r="J21" s="86"/>
    </row>
    <row r="22" spans="1:14">
      <c r="A22" s="92"/>
      <c r="B22" s="11" t="s">
        <v>225</v>
      </c>
      <c r="C22" s="11" t="s">
        <v>224</v>
      </c>
      <c r="D22" s="11" t="s">
        <v>225</v>
      </c>
      <c r="E22" s="21" t="s">
        <v>224</v>
      </c>
      <c r="F22" s="92"/>
      <c r="G22" s="73" t="s">
        <v>225</v>
      </c>
      <c r="H22" s="73" t="s">
        <v>224</v>
      </c>
      <c r="I22" s="73" t="s">
        <v>225</v>
      </c>
      <c r="J22" s="74" t="s">
        <v>224</v>
      </c>
    </row>
    <row r="23" spans="1:14">
      <c r="A23" s="87" t="s">
        <v>252</v>
      </c>
      <c r="B23" s="88"/>
      <c r="C23" s="88"/>
      <c r="D23" s="88"/>
      <c r="E23" s="89"/>
      <c r="F23" s="87" t="s">
        <v>259</v>
      </c>
      <c r="G23" s="88"/>
      <c r="H23" s="88"/>
      <c r="I23" s="88"/>
      <c r="J23" s="89"/>
    </row>
    <row r="24" spans="1:14" s="66" customFormat="1" ht="15.75" thickBot="1">
      <c r="A24" s="65">
        <v>6</v>
      </c>
      <c r="B24" s="63" t="s">
        <v>154</v>
      </c>
      <c r="C24" s="63" t="s">
        <v>243</v>
      </c>
      <c r="D24" s="63" t="s">
        <v>263</v>
      </c>
      <c r="E24" s="64">
        <v>0.38500000000000001</v>
      </c>
      <c r="F24" s="65">
        <v>12</v>
      </c>
      <c r="G24" s="129" t="s">
        <v>264</v>
      </c>
      <c r="H24" s="129" t="s">
        <v>243</v>
      </c>
      <c r="I24" s="129" t="s">
        <v>265</v>
      </c>
      <c r="J24" s="130">
        <v>0.38500000000000001</v>
      </c>
    </row>
    <row r="26" spans="1:14" ht="35.25" customHeight="1" thickBot="1">
      <c r="A26" s="83" t="s">
        <v>226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</row>
    <row r="27" spans="1:14" s="15" customFormat="1" ht="15" customHeight="1">
      <c r="A27" s="90" t="s">
        <v>228</v>
      </c>
      <c r="B27" s="84" t="s">
        <v>227</v>
      </c>
      <c r="C27" s="85"/>
      <c r="D27" s="85"/>
      <c r="E27" s="86"/>
      <c r="F27" s="84" t="s">
        <v>227</v>
      </c>
      <c r="G27" s="85"/>
      <c r="H27" s="85"/>
      <c r="I27" s="86"/>
    </row>
    <row r="28" spans="1:14" s="10" customFormat="1">
      <c r="A28" s="90"/>
      <c r="B28" s="59" t="s">
        <v>19</v>
      </c>
      <c r="C28" s="60" t="s">
        <v>20</v>
      </c>
      <c r="D28" s="60" t="s">
        <v>21</v>
      </c>
      <c r="E28" s="31" t="s">
        <v>22</v>
      </c>
      <c r="F28" s="79" t="s">
        <v>19</v>
      </c>
      <c r="G28" s="80" t="s">
        <v>20</v>
      </c>
      <c r="H28" s="80" t="s">
        <v>21</v>
      </c>
      <c r="I28" s="31" t="s">
        <v>22</v>
      </c>
    </row>
    <row r="29" spans="1:14">
      <c r="A29" s="90"/>
      <c r="B29" s="87" t="s">
        <v>252</v>
      </c>
      <c r="C29" s="88"/>
      <c r="D29" s="88"/>
      <c r="E29" s="89"/>
      <c r="F29" s="87" t="s">
        <v>259</v>
      </c>
      <c r="G29" s="88"/>
      <c r="H29" s="88"/>
      <c r="I29" s="89"/>
    </row>
    <row r="30" spans="1:14">
      <c r="A30" s="62" t="s">
        <v>244</v>
      </c>
      <c r="B30" s="59"/>
      <c r="C30" s="60"/>
      <c r="D30" s="60" t="s">
        <v>245</v>
      </c>
      <c r="E30" s="61"/>
      <c r="F30" s="79"/>
      <c r="G30" s="80"/>
      <c r="H30" s="131" t="s">
        <v>266</v>
      </c>
      <c r="I30" s="132" t="s">
        <v>266</v>
      </c>
    </row>
    <row r="31" spans="1:14" s="67" customFormat="1" ht="15.75" thickBot="1">
      <c r="A31" s="77" t="s">
        <v>246</v>
      </c>
      <c r="B31" s="65"/>
      <c r="C31" s="78"/>
      <c r="D31" s="63" t="s">
        <v>245</v>
      </c>
      <c r="E31" s="64"/>
      <c r="F31" s="65"/>
      <c r="G31" s="78"/>
      <c r="H31" s="129" t="s">
        <v>266</v>
      </c>
      <c r="I31" s="133" t="s">
        <v>266</v>
      </c>
    </row>
  </sheetData>
  <mergeCells count="25">
    <mergeCell ref="A20:N20"/>
    <mergeCell ref="A1:R1"/>
    <mergeCell ref="C4:F4"/>
    <mergeCell ref="A4:A5"/>
    <mergeCell ref="B4:B5"/>
    <mergeCell ref="A3:N3"/>
    <mergeCell ref="A10:N10"/>
    <mergeCell ref="A11:A12"/>
    <mergeCell ref="B12:C12"/>
    <mergeCell ref="G4:J4"/>
    <mergeCell ref="D12:E12"/>
    <mergeCell ref="A26:N26"/>
    <mergeCell ref="B27:E27"/>
    <mergeCell ref="B29:E29"/>
    <mergeCell ref="A27:A29"/>
    <mergeCell ref="A21:A22"/>
    <mergeCell ref="A23:E23"/>
    <mergeCell ref="B21:C21"/>
    <mergeCell ref="D21:E21"/>
    <mergeCell ref="F21:F22"/>
    <mergeCell ref="G21:H21"/>
    <mergeCell ref="I21:J21"/>
    <mergeCell ref="F23:J23"/>
    <mergeCell ref="F27:I27"/>
    <mergeCell ref="F29:I29"/>
  </mergeCells>
  <pageMargins left="0.7" right="0.7" top="0.75" bottom="0.75" header="0.3" footer="0.3"/>
  <pageSetup paperSize="9" scale="69" orientation="landscape" r:id="rId1"/>
  <colBreaks count="1" manualBreakCount="1">
    <brk id="14" max="1048575" man="1"/>
  </colBreaks>
  <ignoredErrors>
    <ignoredError sqref="A6:B6 A13 B16 A24:C24 B30:D31 C6:F6 E8 B13:C13 B15:C15 B14:C14 G6:J6 I8 D13:E13 D15:E15 D16 D14:E14 E24 G24:J24 H30:I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85" zoomScaleSheetLayoutView="85" workbookViewId="0">
      <selection activeCell="A46" sqref="A46:T46"/>
    </sheetView>
  </sheetViews>
  <sheetFormatPr defaultRowHeight="15"/>
  <cols>
    <col min="1" max="1" width="6.7109375" style="1" customWidth="1"/>
    <col min="2" max="2" width="53.85546875" style="1" customWidth="1"/>
    <col min="3" max="3" width="12.28515625" style="1" customWidth="1"/>
    <col min="4" max="4" width="13.28515625" style="1" customWidth="1"/>
    <col min="5" max="5" width="14.140625" style="1" customWidth="1"/>
    <col min="6" max="18" width="9.140625" style="1"/>
    <col min="19" max="19" width="32.7109375" style="1" customWidth="1"/>
    <col min="20" max="20" width="34.42578125" style="1" customWidth="1"/>
    <col min="21" max="16384" width="9.140625" style="1"/>
  </cols>
  <sheetData>
    <row r="1" spans="1:13" ht="15.75">
      <c r="A1" s="93" t="s">
        <v>262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s="5" customFormat="1" ht="12.75">
      <c r="A2" s="106" t="s">
        <v>121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4" spans="1:13">
      <c r="A4" s="103" t="s">
        <v>2</v>
      </c>
      <c r="B4" s="103" t="s">
        <v>0</v>
      </c>
      <c r="C4" s="103" t="s">
        <v>1</v>
      </c>
      <c r="D4" s="103"/>
      <c r="E4" s="103"/>
    </row>
    <row r="5" spans="1:13" ht="38.25">
      <c r="A5" s="103"/>
      <c r="B5" s="103"/>
      <c r="C5" s="36" t="s">
        <v>3</v>
      </c>
      <c r="D5" s="36" t="s">
        <v>4</v>
      </c>
      <c r="E5" s="36" t="s">
        <v>5</v>
      </c>
    </row>
    <row r="6" spans="1:13">
      <c r="A6" s="36">
        <v>1</v>
      </c>
      <c r="B6" s="36">
        <v>2</v>
      </c>
      <c r="C6" s="47">
        <v>3</v>
      </c>
      <c r="D6" s="47">
        <v>4</v>
      </c>
      <c r="E6" s="47">
        <v>5</v>
      </c>
    </row>
    <row r="7" spans="1:13" ht="25.5" customHeight="1">
      <c r="A7" s="103">
        <v>1</v>
      </c>
      <c r="B7" s="102" t="s">
        <v>230</v>
      </c>
      <c r="C7" s="134">
        <v>0.16669999999999999</v>
      </c>
      <c r="D7" s="134">
        <v>0.1047</v>
      </c>
      <c r="E7" s="135">
        <f>(C7-D7)*100/C7</f>
        <v>37.192561487702456</v>
      </c>
    </row>
    <row r="8" spans="1:13">
      <c r="A8" s="103"/>
      <c r="B8" s="102"/>
      <c r="C8" s="134"/>
      <c r="D8" s="134"/>
      <c r="E8" s="135"/>
    </row>
    <row r="9" spans="1:13">
      <c r="A9" s="41" t="s">
        <v>99</v>
      </c>
      <c r="B9" s="45" t="s">
        <v>6</v>
      </c>
      <c r="C9" s="55" t="s">
        <v>118</v>
      </c>
      <c r="D9" s="55" t="s">
        <v>118</v>
      </c>
      <c r="E9" s="55" t="s">
        <v>118</v>
      </c>
    </row>
    <row r="10" spans="1:13">
      <c r="A10" s="41" t="s">
        <v>100</v>
      </c>
      <c r="B10" s="45" t="s">
        <v>7</v>
      </c>
      <c r="C10" s="55" t="s">
        <v>118</v>
      </c>
      <c r="D10" s="55" t="s">
        <v>118</v>
      </c>
      <c r="E10" s="55" t="s">
        <v>118</v>
      </c>
    </row>
    <row r="11" spans="1:13">
      <c r="A11" s="41" t="s">
        <v>101</v>
      </c>
      <c r="B11" s="45" t="s">
        <v>8</v>
      </c>
      <c r="C11" s="55">
        <f>C7</f>
        <v>0.16669999999999999</v>
      </c>
      <c r="D11" s="55">
        <f>D7</f>
        <v>0.1047</v>
      </c>
      <c r="E11" s="136">
        <f>E7</f>
        <v>37.192561487702456</v>
      </c>
    </row>
    <row r="12" spans="1:13">
      <c r="A12" s="41" t="s">
        <v>102</v>
      </c>
      <c r="B12" s="45" t="s">
        <v>9</v>
      </c>
      <c r="C12" s="55" t="s">
        <v>118</v>
      </c>
      <c r="D12" s="55">
        <f>D7</f>
        <v>0.1047</v>
      </c>
      <c r="E12" s="136">
        <f>E7</f>
        <v>37.192561487702456</v>
      </c>
    </row>
    <row r="13" spans="1:13" ht="25.5" customHeight="1">
      <c r="A13" s="103">
        <v>2</v>
      </c>
      <c r="B13" s="102" t="s">
        <v>229</v>
      </c>
      <c r="C13" s="134">
        <v>1</v>
      </c>
      <c r="D13" s="134">
        <v>0.68</v>
      </c>
      <c r="E13" s="135">
        <f>(C13-D13)*100/C13</f>
        <v>31.999999999999996</v>
      </c>
    </row>
    <row r="14" spans="1:13">
      <c r="A14" s="103"/>
      <c r="B14" s="102"/>
      <c r="C14" s="134"/>
      <c r="D14" s="134"/>
      <c r="E14" s="135"/>
    </row>
    <row r="15" spans="1:13">
      <c r="A15" s="41" t="s">
        <v>103</v>
      </c>
      <c r="B15" s="45" t="s">
        <v>6</v>
      </c>
      <c r="C15" s="55" t="s">
        <v>118</v>
      </c>
      <c r="D15" s="55" t="s">
        <v>118</v>
      </c>
      <c r="E15" s="55" t="s">
        <v>118</v>
      </c>
    </row>
    <row r="16" spans="1:13">
      <c r="A16" s="41" t="s">
        <v>104</v>
      </c>
      <c r="B16" s="45" t="s">
        <v>7</v>
      </c>
      <c r="C16" s="55" t="s">
        <v>118</v>
      </c>
      <c r="D16" s="55" t="s">
        <v>118</v>
      </c>
      <c r="E16" s="55" t="s">
        <v>118</v>
      </c>
    </row>
    <row r="17" spans="1:5">
      <c r="A17" s="41" t="s">
        <v>105</v>
      </c>
      <c r="B17" s="45" t="s">
        <v>8</v>
      </c>
      <c r="C17" s="55">
        <v>1</v>
      </c>
      <c r="D17" s="55">
        <v>0.68</v>
      </c>
      <c r="E17" s="136">
        <f>E13</f>
        <v>31.999999999999996</v>
      </c>
    </row>
    <row r="18" spans="1:5">
      <c r="A18" s="41" t="s">
        <v>106</v>
      </c>
      <c r="B18" s="45" t="s">
        <v>9</v>
      </c>
      <c r="C18" s="55" t="s">
        <v>118</v>
      </c>
      <c r="D18" s="55">
        <v>0.68</v>
      </c>
      <c r="E18" s="136">
        <f>E13</f>
        <v>31.999999999999996</v>
      </c>
    </row>
    <row r="19" spans="1:5" ht="63.75" customHeight="1">
      <c r="A19" s="103">
        <v>3</v>
      </c>
      <c r="B19" s="102" t="s">
        <v>231</v>
      </c>
      <c r="C19" s="134">
        <v>1.5</v>
      </c>
      <c r="D19" s="134">
        <v>8.6400000000000005E-2</v>
      </c>
      <c r="E19" s="135">
        <f>(C19-D19)*100/C19</f>
        <v>94.24</v>
      </c>
    </row>
    <row r="20" spans="1:5">
      <c r="A20" s="103"/>
      <c r="B20" s="102"/>
      <c r="C20" s="134"/>
      <c r="D20" s="134"/>
      <c r="E20" s="135"/>
    </row>
    <row r="21" spans="1:5">
      <c r="A21" s="41" t="s">
        <v>107</v>
      </c>
      <c r="B21" s="45" t="s">
        <v>6</v>
      </c>
      <c r="C21" s="55" t="s">
        <v>118</v>
      </c>
      <c r="D21" s="55" t="s">
        <v>118</v>
      </c>
      <c r="E21" s="55" t="s">
        <v>118</v>
      </c>
    </row>
    <row r="22" spans="1:5">
      <c r="A22" s="41" t="s">
        <v>108</v>
      </c>
      <c r="B22" s="45" t="s">
        <v>7</v>
      </c>
      <c r="C22" s="55" t="s">
        <v>118</v>
      </c>
      <c r="D22" s="55" t="s">
        <v>118</v>
      </c>
      <c r="E22" s="55" t="s">
        <v>118</v>
      </c>
    </row>
    <row r="23" spans="1:5">
      <c r="A23" s="41" t="s">
        <v>109</v>
      </c>
      <c r="B23" s="45" t="s">
        <v>8</v>
      </c>
      <c r="C23" s="55">
        <v>1.5</v>
      </c>
      <c r="D23" s="55">
        <v>8.6400000000000005E-2</v>
      </c>
      <c r="E23" s="136">
        <f>E19</f>
        <v>94.24</v>
      </c>
    </row>
    <row r="24" spans="1:5">
      <c r="A24" s="41" t="s">
        <v>110</v>
      </c>
      <c r="B24" s="45" t="s">
        <v>9</v>
      </c>
      <c r="C24" s="55" t="s">
        <v>118</v>
      </c>
      <c r="D24" s="55">
        <v>8.6400000000000005E-2</v>
      </c>
      <c r="E24" s="136">
        <f>E19</f>
        <v>94.24</v>
      </c>
    </row>
    <row r="25" spans="1:5" ht="63.75" customHeight="1">
      <c r="A25" s="103">
        <v>4</v>
      </c>
      <c r="B25" s="102" t="s">
        <v>232</v>
      </c>
      <c r="C25" s="107">
        <v>0</v>
      </c>
      <c r="D25" s="107">
        <v>0</v>
      </c>
      <c r="E25" s="107">
        <v>0</v>
      </c>
    </row>
    <row r="26" spans="1:5">
      <c r="A26" s="103"/>
      <c r="B26" s="102"/>
      <c r="C26" s="107"/>
      <c r="D26" s="107"/>
      <c r="E26" s="107"/>
    </row>
    <row r="27" spans="1:5">
      <c r="A27" s="41" t="s">
        <v>111</v>
      </c>
      <c r="B27" s="45" t="s">
        <v>6</v>
      </c>
      <c r="C27" s="82" t="s">
        <v>118</v>
      </c>
      <c r="D27" s="82" t="s">
        <v>118</v>
      </c>
      <c r="E27" s="82" t="s">
        <v>118</v>
      </c>
    </row>
    <row r="28" spans="1:5">
      <c r="A28" s="41" t="s">
        <v>112</v>
      </c>
      <c r="B28" s="45" t="s">
        <v>7</v>
      </c>
      <c r="C28" s="82" t="s">
        <v>118</v>
      </c>
      <c r="D28" s="82" t="s">
        <v>118</v>
      </c>
      <c r="E28" s="82" t="s">
        <v>118</v>
      </c>
    </row>
    <row r="29" spans="1:5">
      <c r="A29" s="41" t="s">
        <v>113</v>
      </c>
      <c r="B29" s="45" t="s">
        <v>8</v>
      </c>
      <c r="C29" s="82" t="s">
        <v>118</v>
      </c>
      <c r="D29" s="82" t="s">
        <v>118</v>
      </c>
      <c r="E29" s="82" t="s">
        <v>118</v>
      </c>
    </row>
    <row r="30" spans="1:5">
      <c r="A30" s="41" t="s">
        <v>114</v>
      </c>
      <c r="B30" s="45" t="s">
        <v>9</v>
      </c>
      <c r="C30" s="82" t="s">
        <v>118</v>
      </c>
      <c r="D30" s="82" t="s">
        <v>118</v>
      </c>
      <c r="E30" s="82" t="s">
        <v>118</v>
      </c>
    </row>
    <row r="31" spans="1:5" ht="38.25">
      <c r="A31" s="36">
        <v>5</v>
      </c>
      <c r="B31" s="46" t="s">
        <v>10</v>
      </c>
      <c r="C31" s="82">
        <v>0</v>
      </c>
      <c r="D31" s="82">
        <v>0</v>
      </c>
      <c r="E31" s="82">
        <v>0</v>
      </c>
    </row>
    <row r="32" spans="1:5" ht="51">
      <c r="A32" s="41" t="s">
        <v>115</v>
      </c>
      <c r="B32" s="46" t="s">
        <v>11</v>
      </c>
      <c r="C32" s="82">
        <v>0</v>
      </c>
      <c r="D32" s="82">
        <v>0</v>
      </c>
      <c r="E32" s="82">
        <v>0</v>
      </c>
    </row>
    <row r="34" spans="1:20" s="6" customFormat="1" ht="12.75">
      <c r="A34" s="104" t="s">
        <v>235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</row>
    <row r="35" spans="1:20">
      <c r="A35" s="2"/>
    </row>
    <row r="36" spans="1:20" ht="133.5" customHeight="1">
      <c r="A36" s="103" t="s">
        <v>2</v>
      </c>
      <c r="B36" s="103" t="s">
        <v>12</v>
      </c>
      <c r="C36" s="103" t="s">
        <v>13</v>
      </c>
      <c r="D36" s="103"/>
      <c r="E36" s="103"/>
      <c r="F36" s="103"/>
      <c r="G36" s="103" t="s">
        <v>14</v>
      </c>
      <c r="H36" s="103"/>
      <c r="I36" s="103"/>
      <c r="J36" s="103"/>
      <c r="K36" s="103" t="s">
        <v>15</v>
      </c>
      <c r="L36" s="103"/>
      <c r="M36" s="103"/>
      <c r="N36" s="103"/>
      <c r="O36" s="103" t="s">
        <v>16</v>
      </c>
      <c r="P36" s="103"/>
      <c r="Q36" s="103"/>
      <c r="R36" s="103"/>
      <c r="S36" s="103" t="s">
        <v>17</v>
      </c>
      <c r="T36" s="103" t="s">
        <v>18</v>
      </c>
    </row>
    <row r="37" spans="1:20" ht="33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>
      <c r="A38" s="103"/>
      <c r="B38" s="103"/>
      <c r="C38" s="36" t="s">
        <v>19</v>
      </c>
      <c r="D38" s="36" t="s">
        <v>20</v>
      </c>
      <c r="E38" s="36" t="s">
        <v>21</v>
      </c>
      <c r="F38" s="36" t="s">
        <v>22</v>
      </c>
      <c r="G38" s="36" t="s">
        <v>19</v>
      </c>
      <c r="H38" s="36" t="s">
        <v>20</v>
      </c>
      <c r="I38" s="36" t="s">
        <v>21</v>
      </c>
      <c r="J38" s="36" t="s">
        <v>22</v>
      </c>
      <c r="K38" s="36" t="s">
        <v>19</v>
      </c>
      <c r="L38" s="36" t="s">
        <v>20</v>
      </c>
      <c r="M38" s="36" t="s">
        <v>21</v>
      </c>
      <c r="N38" s="36" t="s">
        <v>22</v>
      </c>
      <c r="O38" s="36" t="s">
        <v>19</v>
      </c>
      <c r="P38" s="36" t="s">
        <v>20</v>
      </c>
      <c r="Q38" s="36" t="s">
        <v>21</v>
      </c>
      <c r="R38" s="36" t="s">
        <v>22</v>
      </c>
      <c r="S38" s="103"/>
      <c r="T38" s="103"/>
    </row>
    <row r="39" spans="1:20">
      <c r="A39" s="36">
        <v>1</v>
      </c>
      <c r="B39" s="36">
        <v>2</v>
      </c>
      <c r="C39" s="36">
        <v>3</v>
      </c>
      <c r="D39" s="36">
        <v>4</v>
      </c>
      <c r="E39" s="36">
        <v>5</v>
      </c>
      <c r="F39" s="36">
        <v>6</v>
      </c>
      <c r="G39" s="36">
        <v>7</v>
      </c>
      <c r="H39" s="36">
        <v>8</v>
      </c>
      <c r="I39" s="36">
        <v>9</v>
      </c>
      <c r="J39" s="36">
        <v>10</v>
      </c>
      <c r="K39" s="36">
        <v>11</v>
      </c>
      <c r="L39" s="36">
        <v>12</v>
      </c>
      <c r="M39" s="36">
        <v>13</v>
      </c>
      <c r="N39" s="36">
        <v>14</v>
      </c>
      <c r="O39" s="36">
        <v>15</v>
      </c>
      <c r="P39" s="36">
        <v>16</v>
      </c>
      <c r="Q39" s="36">
        <v>17</v>
      </c>
      <c r="R39" s="36">
        <v>18</v>
      </c>
      <c r="S39" s="36">
        <v>19</v>
      </c>
      <c r="T39" s="36">
        <v>20</v>
      </c>
    </row>
    <row r="40" spans="1:20">
      <c r="A40" s="81">
        <v>1</v>
      </c>
      <c r="B40" s="39" t="s">
        <v>267</v>
      </c>
      <c r="C40" s="81"/>
      <c r="D40" s="81"/>
      <c r="E40" s="81">
        <f>D7</f>
        <v>0.1047</v>
      </c>
      <c r="F40" s="81">
        <f>D12</f>
        <v>0.1047</v>
      </c>
      <c r="G40" s="81"/>
      <c r="H40" s="81"/>
      <c r="I40" s="81">
        <f>D13</f>
        <v>0.68</v>
      </c>
      <c r="J40" s="81">
        <f>D18</f>
        <v>0.68</v>
      </c>
      <c r="K40" s="81"/>
      <c r="L40" s="81"/>
      <c r="M40" s="81">
        <f>D23</f>
        <v>8.6400000000000005E-2</v>
      </c>
      <c r="N40" s="81">
        <f>D24</f>
        <v>8.6400000000000005E-2</v>
      </c>
      <c r="O40" s="81"/>
      <c r="P40" s="81"/>
      <c r="Q40" s="81">
        <v>0</v>
      </c>
      <c r="R40" s="81">
        <v>0</v>
      </c>
      <c r="S40" s="81">
        <v>0.89749999999999996</v>
      </c>
      <c r="T40" s="81"/>
    </row>
    <row r="41" spans="1:20">
      <c r="A41" s="81" t="s">
        <v>23</v>
      </c>
      <c r="B41" s="39" t="s">
        <v>24</v>
      </c>
      <c r="C41" s="82">
        <f>C40</f>
        <v>0</v>
      </c>
      <c r="D41" s="82">
        <f t="shared" ref="D41:S41" si="0">D40</f>
        <v>0</v>
      </c>
      <c r="E41" s="82">
        <f t="shared" si="0"/>
        <v>0.1047</v>
      </c>
      <c r="F41" s="82">
        <f t="shared" si="0"/>
        <v>0.1047</v>
      </c>
      <c r="G41" s="82">
        <f t="shared" si="0"/>
        <v>0</v>
      </c>
      <c r="H41" s="82">
        <f t="shared" si="0"/>
        <v>0</v>
      </c>
      <c r="I41" s="82">
        <f t="shared" si="0"/>
        <v>0.68</v>
      </c>
      <c r="J41" s="82">
        <f t="shared" si="0"/>
        <v>0.68</v>
      </c>
      <c r="K41" s="82">
        <f t="shared" si="0"/>
        <v>0</v>
      </c>
      <c r="L41" s="82">
        <f t="shared" si="0"/>
        <v>0</v>
      </c>
      <c r="M41" s="82">
        <f t="shared" si="0"/>
        <v>8.6400000000000005E-2</v>
      </c>
      <c r="N41" s="82">
        <f t="shared" si="0"/>
        <v>8.6400000000000005E-2</v>
      </c>
      <c r="O41" s="82">
        <f t="shared" si="0"/>
        <v>0</v>
      </c>
      <c r="P41" s="82">
        <f t="shared" si="0"/>
        <v>0</v>
      </c>
      <c r="Q41" s="82">
        <f t="shared" si="0"/>
        <v>0</v>
      </c>
      <c r="R41" s="82">
        <f t="shared" si="0"/>
        <v>0</v>
      </c>
      <c r="S41" s="82">
        <f t="shared" si="0"/>
        <v>0.89749999999999996</v>
      </c>
      <c r="T41" s="82"/>
    </row>
    <row r="42" spans="1:20">
      <c r="A42" s="2"/>
    </row>
    <row r="43" spans="1:20">
      <c r="A43" s="104" t="s">
        <v>126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</row>
    <row r="44" spans="1:20">
      <c r="A44" s="109" t="s">
        <v>127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</row>
    <row r="45" spans="1:20">
      <c r="A45" s="109" t="s">
        <v>128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</row>
    <row r="46" spans="1:20">
      <c r="A46" s="109" t="s">
        <v>129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</row>
    <row r="47" spans="1:20">
      <c r="A47" s="104" t="s">
        <v>25</v>
      </c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</row>
  </sheetData>
  <mergeCells count="39">
    <mergeCell ref="A43:T43"/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  <mergeCell ref="A34:T34"/>
    <mergeCell ref="A2:M2"/>
    <mergeCell ref="A25:A26"/>
    <mergeCell ref="C25:C26"/>
    <mergeCell ref="D25:D26"/>
    <mergeCell ref="E25:E26"/>
    <mergeCell ref="A13:A14"/>
    <mergeCell ref="C13:C14"/>
    <mergeCell ref="D13:D14"/>
    <mergeCell ref="E13:E14"/>
    <mergeCell ref="A19:A20"/>
    <mergeCell ref="C19:C20"/>
    <mergeCell ref="D19:D20"/>
    <mergeCell ref="E19:E20"/>
    <mergeCell ref="B13:B14"/>
    <mergeCell ref="B19:B20"/>
    <mergeCell ref="B25:B26"/>
    <mergeCell ref="A1:M1"/>
    <mergeCell ref="A4:A5"/>
    <mergeCell ref="B4:B5"/>
    <mergeCell ref="C4:E4"/>
    <mergeCell ref="A7:A8"/>
    <mergeCell ref="C7:C8"/>
    <mergeCell ref="D7:D8"/>
    <mergeCell ref="E7:E8"/>
    <mergeCell ref="B7:B8"/>
  </mergeCells>
  <pageMargins left="0.7" right="0.7" top="0.75" bottom="0.75" header="0.3" footer="0.3"/>
  <pageSetup paperSize="9" scale="2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view="pageBreakPreview" topLeftCell="A4" zoomScaleSheetLayoutView="100" workbookViewId="0">
      <selection activeCell="E34" sqref="E34"/>
    </sheetView>
  </sheetViews>
  <sheetFormatPr defaultRowHeight="15"/>
  <cols>
    <col min="1" max="1" width="5" style="1" customWidth="1"/>
    <col min="2" max="2" width="34.7109375" style="1" customWidth="1"/>
    <col min="3" max="4" width="9.140625" style="1"/>
    <col min="5" max="5" width="10.5703125" style="1" customWidth="1"/>
    <col min="6" max="6" width="10.7109375" style="1" customWidth="1"/>
    <col min="7" max="7" width="9.140625" style="1"/>
    <col min="8" max="8" width="11.42578125" style="1" customWidth="1"/>
    <col min="9" max="10" width="9.140625" style="1"/>
    <col min="11" max="11" width="11.140625" style="1" customWidth="1"/>
    <col min="12" max="13" width="9.140625" style="1"/>
    <col min="14" max="14" width="11.140625" style="1" customWidth="1"/>
    <col min="15" max="16" width="9.140625" style="1"/>
    <col min="17" max="17" width="11" style="1" customWidth="1"/>
    <col min="18" max="16384" width="9.140625" style="1"/>
  </cols>
  <sheetData>
    <row r="1" spans="1:18" s="3" customFormat="1" ht="15.75">
      <c r="A1" s="93" t="s">
        <v>236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8">
      <c r="A2" s="110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8" ht="56.25" customHeight="1">
      <c r="A3" s="111" t="s">
        <v>237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08"/>
      <c r="O3" s="108"/>
      <c r="P3" s="108"/>
      <c r="Q3" s="108"/>
      <c r="R3" s="108"/>
    </row>
    <row r="4" spans="1:18">
      <c r="A4" s="111" t="s">
        <v>123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08"/>
      <c r="O4" s="108"/>
      <c r="P4" s="108"/>
      <c r="Q4" s="108"/>
      <c r="R4" s="108"/>
    </row>
    <row r="5" spans="1:18">
      <c r="A5" s="119" t="s">
        <v>125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</row>
    <row r="6" spans="1:18">
      <c r="A6" s="119" t="s">
        <v>122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</row>
    <row r="7" spans="1:18">
      <c r="A7" s="119" t="s">
        <v>124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</row>
    <row r="8" spans="1:18">
      <c r="A8" s="111" t="s">
        <v>27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08"/>
      <c r="O8" s="108"/>
      <c r="P8" s="108"/>
      <c r="Q8" s="108"/>
      <c r="R8" s="108"/>
    </row>
    <row r="9" spans="1:18">
      <c r="A9" s="111" t="s">
        <v>28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8">
      <c r="A10" s="2"/>
    </row>
    <row r="11" spans="1:18">
      <c r="A11" s="103" t="s">
        <v>2</v>
      </c>
      <c r="B11" s="103" t="s">
        <v>0</v>
      </c>
      <c r="C11" s="103" t="s">
        <v>29</v>
      </c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 t="s">
        <v>30</v>
      </c>
    </row>
    <row r="12" spans="1:18" ht="25.5" customHeight="1">
      <c r="A12" s="103"/>
      <c r="B12" s="103"/>
      <c r="C12" s="103" t="s">
        <v>31</v>
      </c>
      <c r="D12" s="103"/>
      <c r="E12" s="103"/>
      <c r="F12" s="103" t="s">
        <v>32</v>
      </c>
      <c r="G12" s="103"/>
      <c r="H12" s="103"/>
      <c r="I12" s="103" t="s">
        <v>33</v>
      </c>
      <c r="J12" s="103"/>
      <c r="K12" s="103"/>
      <c r="L12" s="103" t="s">
        <v>34</v>
      </c>
      <c r="M12" s="103"/>
      <c r="N12" s="103"/>
      <c r="O12" s="103" t="s">
        <v>35</v>
      </c>
      <c r="P12" s="103"/>
      <c r="Q12" s="103"/>
      <c r="R12" s="103"/>
    </row>
    <row r="13" spans="1:18" ht="51">
      <c r="A13" s="103"/>
      <c r="B13" s="103"/>
      <c r="C13" s="36" t="s">
        <v>3</v>
      </c>
      <c r="D13" s="36" t="s">
        <v>4</v>
      </c>
      <c r="E13" s="36" t="s">
        <v>36</v>
      </c>
      <c r="F13" s="36" t="s">
        <v>3</v>
      </c>
      <c r="G13" s="36" t="s">
        <v>4</v>
      </c>
      <c r="H13" s="36" t="s">
        <v>36</v>
      </c>
      <c r="I13" s="36" t="s">
        <v>3</v>
      </c>
      <c r="J13" s="36" t="s">
        <v>4</v>
      </c>
      <c r="K13" s="36" t="s">
        <v>36</v>
      </c>
      <c r="L13" s="36" t="s">
        <v>3</v>
      </c>
      <c r="M13" s="36" t="s">
        <v>4</v>
      </c>
      <c r="N13" s="36" t="s">
        <v>36</v>
      </c>
      <c r="O13" s="36" t="s">
        <v>3</v>
      </c>
      <c r="P13" s="36" t="s">
        <v>4</v>
      </c>
      <c r="Q13" s="36" t="s">
        <v>36</v>
      </c>
      <c r="R13" s="39"/>
    </row>
    <row r="14" spans="1:18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>
        <v>10</v>
      </c>
      <c r="K14" s="36">
        <v>11</v>
      </c>
      <c r="L14" s="36">
        <v>12</v>
      </c>
      <c r="M14" s="36">
        <v>13</v>
      </c>
      <c r="N14" s="36">
        <v>14</v>
      </c>
      <c r="O14" s="36">
        <v>15</v>
      </c>
      <c r="P14" s="36">
        <v>16</v>
      </c>
      <c r="Q14" s="36">
        <v>17</v>
      </c>
      <c r="R14" s="36">
        <v>18</v>
      </c>
    </row>
    <row r="15" spans="1:18" ht="38.25">
      <c r="A15" s="36">
        <v>1</v>
      </c>
      <c r="B15" s="40" t="s">
        <v>37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</row>
    <row r="16" spans="1:18" ht="63.75">
      <c r="A16" s="36">
        <v>2</v>
      </c>
      <c r="B16" s="39" t="s">
        <v>38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</row>
    <row r="17" spans="1:18" ht="102">
      <c r="A17" s="36">
        <v>3</v>
      </c>
      <c r="B17" s="39" t="s">
        <v>39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>
      <c r="A18" s="41" t="s">
        <v>107</v>
      </c>
      <c r="B18" s="39" t="s">
        <v>40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</row>
    <row r="19" spans="1:18">
      <c r="A19" s="41" t="s">
        <v>108</v>
      </c>
      <c r="B19" s="39" t="s">
        <v>41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</row>
    <row r="20" spans="1:18" ht="63.75">
      <c r="A20" s="36">
        <v>4</v>
      </c>
      <c r="B20" s="39" t="s">
        <v>42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</row>
    <row r="21" spans="1:18" ht="51">
      <c r="A21" s="36">
        <v>5</v>
      </c>
      <c r="B21" s="39" t="s">
        <v>43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</row>
    <row r="22" spans="1:18" ht="51">
      <c r="A22" s="36">
        <v>6</v>
      </c>
      <c r="B22" s="39" t="s">
        <v>44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</row>
    <row r="23" spans="1:18" ht="89.25">
      <c r="A23" s="36">
        <v>7</v>
      </c>
      <c r="B23" s="39" t="s">
        <v>45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</row>
    <row r="24" spans="1:18">
      <c r="A24" s="41" t="s">
        <v>116</v>
      </c>
      <c r="B24" s="39" t="s">
        <v>40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</row>
    <row r="25" spans="1:18">
      <c r="A25" s="41" t="s">
        <v>117</v>
      </c>
      <c r="B25" s="39" t="s">
        <v>46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</row>
    <row r="26" spans="1:18" ht="51">
      <c r="A26" s="36">
        <v>8</v>
      </c>
      <c r="B26" s="39" t="s">
        <v>47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</row>
    <row r="27" spans="1:18">
      <c r="A27" s="2"/>
    </row>
    <row r="28" spans="1:18" ht="33.75" customHeight="1">
      <c r="A28" s="117" t="s">
        <v>48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28.5" customHeight="1">
      <c r="A29" s="109" t="s">
        <v>238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</row>
    <row r="30" spans="1:18">
      <c r="B30" s="103" t="s">
        <v>49</v>
      </c>
      <c r="C30" s="103"/>
      <c r="D30" s="103"/>
      <c r="E30" s="103">
        <v>15</v>
      </c>
      <c r="F30" s="103"/>
      <c r="G30" s="103">
        <v>150</v>
      </c>
      <c r="H30" s="103"/>
      <c r="I30" s="103">
        <v>250</v>
      </c>
      <c r="J30" s="103"/>
      <c r="K30" s="103">
        <v>670</v>
      </c>
      <c r="L30" s="103"/>
    </row>
    <row r="31" spans="1:18">
      <c r="B31" s="103" t="s">
        <v>50</v>
      </c>
      <c r="C31" s="103"/>
      <c r="D31" s="103"/>
      <c r="E31" s="36" t="s">
        <v>51</v>
      </c>
      <c r="F31" s="36" t="s">
        <v>52</v>
      </c>
      <c r="G31" s="36" t="s">
        <v>51</v>
      </c>
      <c r="H31" s="36" t="s">
        <v>52</v>
      </c>
      <c r="I31" s="36" t="s">
        <v>51</v>
      </c>
      <c r="J31" s="36" t="s">
        <v>52</v>
      </c>
      <c r="K31" s="36" t="s">
        <v>51</v>
      </c>
      <c r="L31" s="36" t="s">
        <v>52</v>
      </c>
    </row>
    <row r="32" spans="1:18" ht="114.75">
      <c r="B32" s="36" t="s">
        <v>53</v>
      </c>
      <c r="C32" s="36" t="s">
        <v>54</v>
      </c>
      <c r="D32" s="36" t="s">
        <v>55</v>
      </c>
      <c r="E32" s="68" t="s">
        <v>247</v>
      </c>
      <c r="F32" s="68" t="s">
        <v>248</v>
      </c>
      <c r="G32" s="68" t="s">
        <v>247</v>
      </c>
      <c r="H32" s="68" t="s">
        <v>247</v>
      </c>
      <c r="I32" s="68" t="s">
        <v>247</v>
      </c>
      <c r="J32" s="68" t="s">
        <v>247</v>
      </c>
      <c r="K32" s="68" t="s">
        <v>247</v>
      </c>
      <c r="L32" s="68" t="s">
        <v>247</v>
      </c>
    </row>
    <row r="33" spans="2:12">
      <c r="B33" s="113" t="s">
        <v>249</v>
      </c>
      <c r="C33" s="113" t="s">
        <v>56</v>
      </c>
      <c r="D33" s="58" t="s">
        <v>57</v>
      </c>
      <c r="E33" s="69">
        <f>(355.26*15+2*(315089.02*0.3)+539.96*15)</f>
        <v>202481.712</v>
      </c>
      <c r="F33" s="114">
        <v>550</v>
      </c>
      <c r="G33" s="69">
        <f>(355.26*150+2*(315089.02*0.3)+539.96*150)</f>
        <v>323336.41200000001</v>
      </c>
      <c r="H33" s="69">
        <f>355.26*150+(315089.02*0.3)+539.96*150</f>
        <v>228809.70600000001</v>
      </c>
      <c r="I33" s="69">
        <f>(355.26*250+2*(630178.54*0.3)+1079.93*250)</f>
        <v>736904.62400000007</v>
      </c>
      <c r="J33" s="69">
        <f>355.26*250+(630178.54*0.3)+1079.93*250</f>
        <v>547851.06200000003</v>
      </c>
      <c r="K33" s="69">
        <f>(355.26*670+2*(630178.54*0.3)+1079.93*670)</f>
        <v>1339684.4240000001</v>
      </c>
      <c r="L33" s="69">
        <f>355.26*670+(630178.54*0.3)+1079.93*670</f>
        <v>1150630.8620000002</v>
      </c>
    </row>
    <row r="34" spans="2:12">
      <c r="B34" s="113"/>
      <c r="C34" s="113"/>
      <c r="D34" s="58" t="s">
        <v>58</v>
      </c>
      <c r="E34" s="69">
        <f>(355.26*15+2*(157903.11*0.3)+539.96*15)</f>
        <v>108170.16599999998</v>
      </c>
      <c r="F34" s="115"/>
      <c r="G34" s="69">
        <f>(355.26*150+2*(157903.11*0.3)+539.96*150)</f>
        <v>229024.86599999998</v>
      </c>
      <c r="H34" s="69">
        <f>355.26*150+(157903.11*0.3)+539.96*150</f>
        <v>181653.93299999999</v>
      </c>
      <c r="I34" s="69">
        <f>(355.26*250+2*(315806.44*0.3)+1079.93*250)</f>
        <v>548281.36400000006</v>
      </c>
      <c r="J34" s="69">
        <f>355.26*250+(315806.44*0.3)+1079.93*250</f>
        <v>453539.43200000003</v>
      </c>
      <c r="K34" s="69">
        <f>(355.26*670+2*(315806.44*0.3)+1079.93*670)</f>
        <v>1151061.1640000001</v>
      </c>
      <c r="L34" s="69">
        <f>355.26*670+(315806.44*0.3)+1079.93*670</f>
        <v>1056319.2320000001</v>
      </c>
    </row>
    <row r="35" spans="2:12">
      <c r="B35" s="113"/>
      <c r="C35" s="113" t="s">
        <v>59</v>
      </c>
      <c r="D35" s="58" t="s">
        <v>57</v>
      </c>
      <c r="E35" s="69">
        <f>(355.26*15+2*(315089.02*0.3))</f>
        <v>194382.31200000001</v>
      </c>
      <c r="F35" s="114">
        <v>550</v>
      </c>
      <c r="G35" s="69">
        <f>(355.26*150+2*(315089.02*0.3))</f>
        <v>242342.41200000001</v>
      </c>
      <c r="H35" s="69">
        <f>355.26*150+(315089.02*0.3)</f>
        <v>147815.70600000001</v>
      </c>
      <c r="I35" s="69">
        <f>(355.26*250+2*(630178.54*0.3))</f>
        <v>466922.12400000001</v>
      </c>
      <c r="J35" s="69">
        <f>355.26*250+(630178.54*0.3)</f>
        <v>277868.56200000003</v>
      </c>
      <c r="K35" s="69">
        <f>(355.26*670+2*(630178.54*0.3))</f>
        <v>616131.32400000002</v>
      </c>
      <c r="L35" s="69">
        <f>355.26*670+(630178.54*0.3)</f>
        <v>427077.76199999999</v>
      </c>
    </row>
    <row r="36" spans="2:12">
      <c r="B36" s="113"/>
      <c r="C36" s="113"/>
      <c r="D36" s="58" t="s">
        <v>58</v>
      </c>
      <c r="E36" s="69">
        <f>(355.26*15+2*(157903.11*0.3))</f>
        <v>100070.76599999999</v>
      </c>
      <c r="F36" s="116"/>
      <c r="G36" s="69">
        <f>(355.26*150+2*(157903.11*0.3))</f>
        <v>148030.86599999998</v>
      </c>
      <c r="H36" s="69">
        <f>355.26*150+(157903.11*0.3)</f>
        <v>100659.93299999999</v>
      </c>
      <c r="I36" s="69">
        <f>(355.26*250+2*(315806.44*0.3))</f>
        <v>278298.864</v>
      </c>
      <c r="J36" s="69">
        <f>355.26*250+(315806.44*0.3)</f>
        <v>183556.932</v>
      </c>
      <c r="K36" s="69">
        <f>(355.26*670+2*(315806.44*0.3))</f>
        <v>427508.06400000001</v>
      </c>
      <c r="L36" s="69">
        <f>355.26*670+(315806.44*0.3)</f>
        <v>332766.13199999998</v>
      </c>
    </row>
    <row r="37" spans="2:12">
      <c r="B37" s="113" t="s">
        <v>250</v>
      </c>
      <c r="C37" s="113" t="s">
        <v>56</v>
      </c>
      <c r="D37" s="37" t="s">
        <v>57</v>
      </c>
      <c r="E37" s="69">
        <f>(355.26*15+2*(315089.02*0.5)+539.96*15)</f>
        <v>328517.32000000007</v>
      </c>
      <c r="F37" s="114">
        <v>550</v>
      </c>
      <c r="G37" s="69">
        <f>(355.26*150+2*(315089.02*0.5)+539.96*150)</f>
        <v>449372.02</v>
      </c>
      <c r="H37" s="69">
        <f>355.26*150+(315089.02*0.5)+539.96*150</f>
        <v>291827.51</v>
      </c>
      <c r="I37" s="69">
        <f>(355.26*250+2*(630178.54*0.5)+1079.93*250)</f>
        <v>988976.04</v>
      </c>
      <c r="J37" s="69">
        <f>355.26*250+(630178.54*0.5)+1079.93*250</f>
        <v>673886.77</v>
      </c>
      <c r="K37" s="69">
        <f>(355.26*670+2*(630178.54*0.5)+1079.93*670)</f>
        <v>1591755.84</v>
      </c>
      <c r="L37" s="69">
        <f>355.26*670+(630178.54*0.5)+1079.93*670</f>
        <v>1276666.57</v>
      </c>
    </row>
    <row r="38" spans="2:12">
      <c r="B38" s="113"/>
      <c r="C38" s="113"/>
      <c r="D38" s="37" t="s">
        <v>58</v>
      </c>
      <c r="E38" s="69">
        <f>(355.26*15+2*(157903.11*0.5)+539.96*15)</f>
        <v>171331.40999999997</v>
      </c>
      <c r="F38" s="116"/>
      <c r="G38" s="69">
        <f>(355.26*150+2*(157903.11*0.5)+539.96*150)</f>
        <v>292186.11</v>
      </c>
      <c r="H38" s="69">
        <f>355.26*150+(157903.11*0.5)+539.96*150</f>
        <v>213234.55499999999</v>
      </c>
      <c r="I38" s="69">
        <f>(355.26*250+2*(315806.44*0.5)+1079.93*250)</f>
        <v>674603.94</v>
      </c>
      <c r="J38" s="69">
        <f>355.26*250+(315806.44*0.5)+1079.93*250</f>
        <v>516700.72</v>
      </c>
      <c r="K38" s="69">
        <f>(355.26*670+2*(315806.44*0.5)+1079.93*670)</f>
        <v>1277383.7400000002</v>
      </c>
      <c r="L38" s="69">
        <f>355.26*670+(315806.44*0.5)+1079.93*670</f>
        <v>1119480.52</v>
      </c>
    </row>
    <row r="39" spans="2:12">
      <c r="B39" s="113"/>
      <c r="C39" s="113" t="s">
        <v>59</v>
      </c>
      <c r="D39" s="37" t="s">
        <v>57</v>
      </c>
      <c r="E39" s="69">
        <f>(355.26*15+2*(315089.02*0.5))</f>
        <v>320417.92000000004</v>
      </c>
      <c r="F39" s="114">
        <v>550</v>
      </c>
      <c r="G39" s="69">
        <f>(355.26*150+2*(315089.02*0.5))</f>
        <v>368378.02</v>
      </c>
      <c r="H39" s="69">
        <f>355.26*150+(315089.02*0.5)</f>
        <v>210833.51</v>
      </c>
      <c r="I39" s="69">
        <f>(355.26*250+2*(630178.54*0.5))</f>
        <v>718993.54</v>
      </c>
      <c r="J39" s="69">
        <f>355.26*250+(630178.54*0.5)</f>
        <v>403904.27</v>
      </c>
      <c r="K39" s="69">
        <f>(355.26*670+2*(630178.54*0.5))</f>
        <v>868202.74</v>
      </c>
      <c r="L39" s="69">
        <f>355.26*670+(630178.54*0.5)</f>
        <v>553113.47</v>
      </c>
    </row>
    <row r="40" spans="2:12">
      <c r="B40" s="113"/>
      <c r="C40" s="113"/>
      <c r="D40" s="37" t="s">
        <v>58</v>
      </c>
      <c r="E40" s="69">
        <f>(355.26*15+2*(157903.11*0.5))</f>
        <v>163232.00999999998</v>
      </c>
      <c r="F40" s="116"/>
      <c r="G40" s="69">
        <f>(355.26*150+2*(157903.11*0.5))</f>
        <v>211192.11</v>
      </c>
      <c r="H40" s="69">
        <f>355.26*150+(157903.11*0.5)</f>
        <v>132240.55499999999</v>
      </c>
      <c r="I40" s="69">
        <f>(355.26*250+2*(315806.44*0.5))</f>
        <v>404621.44</v>
      </c>
      <c r="J40" s="69">
        <f>355.26*250+(315806.44*0.5)</f>
        <v>246718.22</v>
      </c>
      <c r="K40" s="69">
        <f>(355.26*670+2*(315806.44*0.5))</f>
        <v>553830.64</v>
      </c>
      <c r="L40" s="69">
        <f>355.26*670+(315806.44*0.5)</f>
        <v>395927.42</v>
      </c>
    </row>
    <row r="41" spans="2:12">
      <c r="B41" s="113">
        <v>750</v>
      </c>
      <c r="C41" s="113" t="s">
        <v>56</v>
      </c>
      <c r="D41" s="37" t="s">
        <v>57</v>
      </c>
      <c r="E41" s="69">
        <f>(355.26*15+2*(315089.02*0.75)+539.96*15)</f>
        <v>486061.83000000007</v>
      </c>
      <c r="F41" s="69">
        <f>355.26*15+(315089.02*0.75)+539.96*15</f>
        <v>249745.065</v>
      </c>
      <c r="G41" s="69">
        <f>(355.26*150+2*(315089.02*0.75)+539.96*150)</f>
        <v>606916.53</v>
      </c>
      <c r="H41" s="69">
        <f>355.26*150+(315089.02*0.75)+539.96*150</f>
        <v>370599.76500000001</v>
      </c>
      <c r="I41" s="69">
        <f>(355.26*250+2*(630178.54*0.75)+1079.93*250)</f>
        <v>1304065.31</v>
      </c>
      <c r="J41" s="69">
        <f>355.26*250+(630178.54*0.75)+1079.93*250</f>
        <v>831431.40500000003</v>
      </c>
      <c r="K41" s="69">
        <f>(355.26*670+2*(630178.54*0.75)+1079.93*670)</f>
        <v>1906845.11</v>
      </c>
      <c r="L41" s="69">
        <f>355.26*670+(630178.54*0.75)+1079.93*670</f>
        <v>1434211.2050000001</v>
      </c>
    </row>
    <row r="42" spans="2:12">
      <c r="B42" s="113"/>
      <c r="C42" s="113"/>
      <c r="D42" s="37" t="s">
        <v>58</v>
      </c>
      <c r="E42" s="69">
        <f>(355.26*15+2*(157903.11*0.75)+539.96*15)</f>
        <v>250282.96499999997</v>
      </c>
      <c r="F42" s="69">
        <f>355.26*15+(157903.11*0.75)+539.96*15</f>
        <v>131855.63249999998</v>
      </c>
      <c r="G42" s="69">
        <f>(355.26*150+2*(157903.11*0.75)+539.96*150)</f>
        <v>371137.66499999998</v>
      </c>
      <c r="H42" s="69">
        <f>355.26*150+(157903.11*0.75)+539.96*150</f>
        <v>252710.33249999999</v>
      </c>
      <c r="I42" s="69">
        <f>(355.26*250+2*(315806.44*0.75)+1079.93*250)</f>
        <v>832507.16</v>
      </c>
      <c r="J42" s="69">
        <f>355.26*250+(315806.44*0.75)+1079.93*250</f>
        <v>595652.33000000007</v>
      </c>
      <c r="K42" s="69">
        <f>(355.26*670+2*(315806.44*0.75)+1079.93*670)</f>
        <v>1435286.96</v>
      </c>
      <c r="L42" s="69">
        <f>355.26*670+(315806.44*0.75)+1079.93*670</f>
        <v>1198432.1300000001</v>
      </c>
    </row>
    <row r="43" spans="2:12">
      <c r="B43" s="113"/>
      <c r="C43" s="113" t="s">
        <v>59</v>
      </c>
      <c r="D43" s="37" t="s">
        <v>57</v>
      </c>
      <c r="E43" s="69">
        <f>(355.26*15+2*(315089.02*0.75))</f>
        <v>477962.43000000005</v>
      </c>
      <c r="F43" s="69">
        <f>355.26*15+(315089.02*0.75)</f>
        <v>241645.66500000001</v>
      </c>
      <c r="G43" s="69">
        <f>(355.26*150+2*(315089.02*0.75))</f>
        <v>525922.53</v>
      </c>
      <c r="H43" s="69">
        <f>355.26*150+(315089.02*0.75)</f>
        <v>289605.76500000001</v>
      </c>
      <c r="I43" s="69">
        <f>(355.26*250+2*(630178.54*0.75))</f>
        <v>1034082.81</v>
      </c>
      <c r="J43" s="69">
        <f>355.26*250+(630178.54*0.75)</f>
        <v>561448.90500000003</v>
      </c>
      <c r="K43" s="69">
        <f>(355.26*670+2*(630178.54*0.75))</f>
        <v>1183292.01</v>
      </c>
      <c r="L43" s="69">
        <f>355.26*670+(630178.54*0.75)</f>
        <v>710658.10499999998</v>
      </c>
    </row>
    <row r="44" spans="2:12">
      <c r="B44" s="113"/>
      <c r="C44" s="113"/>
      <c r="D44" s="37" t="s">
        <v>58</v>
      </c>
      <c r="E44" s="69">
        <f>(355.26*15+2*(157903.11*0.75))</f>
        <v>242183.56499999997</v>
      </c>
      <c r="F44" s="69">
        <f>355.26*15+(157903.11*0.75)</f>
        <v>123756.23249999998</v>
      </c>
      <c r="G44" s="69">
        <f>(355.26*150+2*(157903.11*0.75))</f>
        <v>290143.66499999998</v>
      </c>
      <c r="H44" s="69">
        <f>355.26*150+(157903.11*0.75)</f>
        <v>171716.33249999999</v>
      </c>
      <c r="I44" s="69">
        <f>(355.26*250+2*(315806.44*0.75))</f>
        <v>562524.66</v>
      </c>
      <c r="J44" s="69">
        <f>355.26*250+(315806.44*0.75)</f>
        <v>325669.83</v>
      </c>
      <c r="K44" s="69">
        <f>(355.26*670+2*(315806.44*0.75))</f>
        <v>711733.86</v>
      </c>
      <c r="L44" s="69">
        <f>355.26*670+(315806.44*0.75)</f>
        <v>474879.03</v>
      </c>
    </row>
    <row r="45" spans="2:12">
      <c r="B45" s="113">
        <v>1000</v>
      </c>
      <c r="C45" s="113" t="s">
        <v>56</v>
      </c>
      <c r="D45" s="37" t="s">
        <v>57</v>
      </c>
      <c r="E45" s="69">
        <f>(355.26*15+2*(315089.02*1)+539.96*15)</f>
        <v>643606.34000000008</v>
      </c>
      <c r="F45" s="69">
        <f>355.26*15+(315089.02*1)+539.96*15</f>
        <v>328517.32000000007</v>
      </c>
      <c r="G45" s="69">
        <f>(355.26*150+2*(315089.02*1)+539.96*150)</f>
        <v>764461.04</v>
      </c>
      <c r="H45" s="69">
        <f>355.26*150+(315089.02*1)+539.96*150</f>
        <v>449372.02</v>
      </c>
      <c r="I45" s="69">
        <f>(355.26*250+2*(630178.54*1)+1079.93*250)</f>
        <v>1619154.58</v>
      </c>
      <c r="J45" s="69">
        <f>355.26*250+(630178.54*1)+1079.93*250</f>
        <v>988976.04</v>
      </c>
      <c r="K45" s="69">
        <f>(355.26*670+2*(630178.54*1)+1079.93*670)</f>
        <v>2221934.38</v>
      </c>
      <c r="L45" s="69">
        <f>355.26*670+(630178.54*1)+1079.93*670</f>
        <v>1591755.84</v>
      </c>
    </row>
    <row r="46" spans="2:12">
      <c r="B46" s="113"/>
      <c r="C46" s="113"/>
      <c r="D46" s="37" t="s">
        <v>58</v>
      </c>
      <c r="E46" s="69">
        <f>(355.26*15+2*(157903.11*1)+539.96*15)</f>
        <v>329234.52</v>
      </c>
      <c r="F46" s="69">
        <f>355.26*15+(157903.11*1)+539.96*15</f>
        <v>171331.40999999997</v>
      </c>
      <c r="G46" s="69">
        <f>(355.26*150+2*(157903.11*1)+539.96*150)</f>
        <v>450089.22</v>
      </c>
      <c r="H46" s="69">
        <f>355.26*150+(157903.11*1)+539.96*150</f>
        <v>292186.11</v>
      </c>
      <c r="I46" s="69">
        <f>(355.26*250+2*(315806.44*1)+1079.93*250)</f>
        <v>990410.38</v>
      </c>
      <c r="J46" s="69">
        <f>355.26*250+(315806.44*1)+1079.93*250</f>
        <v>674603.94</v>
      </c>
      <c r="K46" s="69">
        <f>(355.26*670+2*(315806.44*1)+1079.93*670)</f>
        <v>1593190.1800000002</v>
      </c>
      <c r="L46" s="69">
        <f>355.26*670+(315806.44*1)+1079.93*670</f>
        <v>1277383.7400000002</v>
      </c>
    </row>
    <row r="47" spans="2:12">
      <c r="B47" s="113"/>
      <c r="C47" s="113" t="s">
        <v>59</v>
      </c>
      <c r="D47" s="37" t="s">
        <v>57</v>
      </c>
      <c r="E47" s="69">
        <f>(355.26*15+2*(315089.02*1))</f>
        <v>635506.94000000006</v>
      </c>
      <c r="F47" s="69">
        <f>355.26*15+(315089.02*1)</f>
        <v>320417.92000000004</v>
      </c>
      <c r="G47" s="69">
        <f>(355.26*150+2*(315089.02*1))</f>
        <v>683467.04</v>
      </c>
      <c r="H47" s="69">
        <f>355.26*150+(315089.02*1)</f>
        <v>368378.02</v>
      </c>
      <c r="I47" s="69">
        <f>(355.26*250+2*(630178.54*1))</f>
        <v>1349172.08</v>
      </c>
      <c r="J47" s="69">
        <f>355.26*250+(630178.54*1)</f>
        <v>718993.54</v>
      </c>
      <c r="K47" s="69">
        <f>(355.26*670+2*(630178.54*1))</f>
        <v>1498381.28</v>
      </c>
      <c r="L47" s="69">
        <f>355.26*250+(630178.54*1)</f>
        <v>718993.54</v>
      </c>
    </row>
    <row r="48" spans="2:12">
      <c r="B48" s="113"/>
      <c r="C48" s="113"/>
      <c r="D48" s="37" t="s">
        <v>58</v>
      </c>
      <c r="E48" s="69">
        <f>(355.26*15+2*(157903.11*1))</f>
        <v>321135.12</v>
      </c>
      <c r="F48" s="69">
        <f>355.26*15+(157903.11*1)</f>
        <v>163232.00999999998</v>
      </c>
      <c r="G48" s="69">
        <f>(355.26*150+2*(157903.11*1))</f>
        <v>369095.22</v>
      </c>
      <c r="H48" s="69">
        <f>355.26*150+(157903.11*1)</f>
        <v>211192.11</v>
      </c>
      <c r="I48" s="69">
        <f>(355.26*250+2*(315806.44*1))</f>
        <v>720427.88</v>
      </c>
      <c r="J48" s="69">
        <f>355.26*250+(315806.44*1)</f>
        <v>404621.44</v>
      </c>
      <c r="K48" s="69">
        <f>(355.26*670+2*(315806.44*1))</f>
        <v>869637.08</v>
      </c>
      <c r="L48" s="69">
        <f>355.26*250+(315806.44*1)</f>
        <v>404621.44</v>
      </c>
    </row>
    <row r="49" spans="2:12">
      <c r="B49" s="113">
        <v>1250</v>
      </c>
      <c r="C49" s="113" t="s">
        <v>56</v>
      </c>
      <c r="D49" s="37" t="s">
        <v>57</v>
      </c>
      <c r="E49" s="69">
        <f>(355.26*15+2*(315089.02*1.25)+539.96*15)</f>
        <v>801150.85000000009</v>
      </c>
      <c r="F49" s="69">
        <f>355.26*15+(315089.02*1.25)+539.96*15</f>
        <v>407289.57500000007</v>
      </c>
      <c r="G49" s="69">
        <f>(355.26*150+2*(315089.02*1.25)+539.96*150)</f>
        <v>922005.55</v>
      </c>
      <c r="H49" s="69">
        <f>355.26*150+(315089.02*1.25)+539.96*150</f>
        <v>528144.27500000002</v>
      </c>
      <c r="I49" s="69">
        <f>(355.26*250+2*(630178.54*1.25)+1079.93*250)</f>
        <v>1934243.85</v>
      </c>
      <c r="J49" s="69">
        <f>355.26*250+(630178.54*1.25)+1079.93*250</f>
        <v>1146520.675</v>
      </c>
      <c r="K49" s="69">
        <f>(355.26*670+2*(630178.54*1.25)+1079.93*670)</f>
        <v>2537023.6500000004</v>
      </c>
      <c r="L49" s="69">
        <f>355.26*670+(630178.54*1.25)+1079.93*670</f>
        <v>1749300.4750000001</v>
      </c>
    </row>
    <row r="50" spans="2:12">
      <c r="B50" s="113"/>
      <c r="C50" s="113"/>
      <c r="D50" s="37" t="s">
        <v>58</v>
      </c>
      <c r="E50" s="69">
        <f>(355.26*15+2*(157903.11*1.25)+539.96*15)</f>
        <v>408186.07500000001</v>
      </c>
      <c r="F50" s="69">
        <f>355.26*15+(157903.11*1.25)+539.96*15</f>
        <v>210807.18749999997</v>
      </c>
      <c r="G50" s="69">
        <f>(355.26*150+2*(157903.11*1.25)+539.96*150)</f>
        <v>529040.77499999991</v>
      </c>
      <c r="H50" s="69">
        <f>355.26*150+(157903.11*1.25)+539.96*150</f>
        <v>331661.88749999995</v>
      </c>
      <c r="I50" s="69">
        <f>(355.26*250+2*(315806.44*1.25)+1079.93*250)</f>
        <v>1148313.6000000001</v>
      </c>
      <c r="J50" s="69">
        <f>355.26*250+(315806.44*1.25)+1079.93*250</f>
        <v>753555.55</v>
      </c>
      <c r="K50" s="69">
        <f>(355.26*670+2*(315806.44*1.25)+1079.93*670)</f>
        <v>1751093.4</v>
      </c>
      <c r="L50" s="69">
        <f>355.26*670+(315806.44*1.25)+1079.93*670</f>
        <v>1356335.35</v>
      </c>
    </row>
    <row r="51" spans="2:12">
      <c r="B51" s="113"/>
      <c r="C51" s="113" t="s">
        <v>59</v>
      </c>
      <c r="D51" s="37" t="s">
        <v>57</v>
      </c>
      <c r="E51" s="69">
        <f>(355.26*15+2*(315089.02*1.25))</f>
        <v>793051.45000000007</v>
      </c>
      <c r="F51" s="69">
        <f>355.26*15+(315089.02*1.25)</f>
        <v>399190.17500000005</v>
      </c>
      <c r="G51" s="69">
        <f>(355.26*150+2*(315089.02*1.25))</f>
        <v>841011.55</v>
      </c>
      <c r="H51" s="69">
        <f>355.26*150+(315089.02*1.25)</f>
        <v>447150.27500000002</v>
      </c>
      <c r="I51" s="69">
        <f>(355.26*250+2*(630178.54*1.25))</f>
        <v>1664261.35</v>
      </c>
      <c r="J51" s="69">
        <f>355.26*250+(630178.54*1.25)</f>
        <v>876538.17500000005</v>
      </c>
      <c r="K51" s="69">
        <f>(355.26*670+2*(630178.54*1.25))</f>
        <v>1813470.55</v>
      </c>
      <c r="L51" s="69">
        <f>355.26*250+(630178.54*1.25)</f>
        <v>876538.17500000005</v>
      </c>
    </row>
    <row r="52" spans="2:12">
      <c r="B52" s="113"/>
      <c r="C52" s="113"/>
      <c r="D52" s="37" t="s">
        <v>58</v>
      </c>
      <c r="E52" s="69">
        <f>(355.26*15+2*(157903.11*1.25))</f>
        <v>400086.67499999999</v>
      </c>
      <c r="F52" s="69">
        <f>355.26*15+(157903.11*1.25)</f>
        <v>202707.78749999998</v>
      </c>
      <c r="G52" s="69">
        <f>(355.26*150+2*(157903.11*1.25))</f>
        <v>448046.77499999997</v>
      </c>
      <c r="H52" s="69">
        <f>355.26*150+(157903.11*1.25)</f>
        <v>250667.88749999998</v>
      </c>
      <c r="I52" s="69">
        <f>(355.26*250+2*(315806.44*1.25))</f>
        <v>878331.1</v>
      </c>
      <c r="J52" s="69">
        <f>355.26*250+(315806.44*1.25)</f>
        <v>483573.05</v>
      </c>
      <c r="K52" s="69">
        <f>(355.26*670+2*(315806.44*1.25))</f>
        <v>1027540.2999999999</v>
      </c>
      <c r="L52" s="69">
        <f>355.26*250+(315806.44*1.25)</f>
        <v>483573.05</v>
      </c>
    </row>
    <row r="54" spans="2:12">
      <c r="B54" s="70" t="s">
        <v>251</v>
      </c>
      <c r="C54" s="19"/>
      <c r="D54" s="71"/>
    </row>
  </sheetData>
  <mergeCells count="45">
    <mergeCell ref="B49:B52"/>
    <mergeCell ref="C49:C50"/>
    <mergeCell ref="C51:C52"/>
    <mergeCell ref="B45:B48"/>
    <mergeCell ref="C47:C48"/>
    <mergeCell ref="E30:F30"/>
    <mergeCell ref="G30:H30"/>
    <mergeCell ref="I30:J30"/>
    <mergeCell ref="C33:C34"/>
    <mergeCell ref="C35:C36"/>
    <mergeCell ref="A28:R28"/>
    <mergeCell ref="A3:R3"/>
    <mergeCell ref="A4:R4"/>
    <mergeCell ref="A8:R8"/>
    <mergeCell ref="R11:R12"/>
    <mergeCell ref="A5:R5"/>
    <mergeCell ref="A6:R6"/>
    <mergeCell ref="A7:R7"/>
    <mergeCell ref="A29:R29"/>
    <mergeCell ref="C45:C46"/>
    <mergeCell ref="F33:F34"/>
    <mergeCell ref="F35:F36"/>
    <mergeCell ref="F37:F38"/>
    <mergeCell ref="F39:F40"/>
    <mergeCell ref="B33:B36"/>
    <mergeCell ref="K30:L30"/>
    <mergeCell ref="B37:B40"/>
    <mergeCell ref="C37:C38"/>
    <mergeCell ref="C39:C40"/>
    <mergeCell ref="B41:B44"/>
    <mergeCell ref="C41:C42"/>
    <mergeCell ref="C43:C44"/>
    <mergeCell ref="B31:D31"/>
    <mergeCell ref="B30:D30"/>
    <mergeCell ref="A1:M1"/>
    <mergeCell ref="A2:M2"/>
    <mergeCell ref="A9:M9"/>
    <mergeCell ref="A11:A13"/>
    <mergeCell ref="B11:B13"/>
    <mergeCell ref="C11:Q11"/>
    <mergeCell ref="C12:E12"/>
    <mergeCell ref="F12:H12"/>
    <mergeCell ref="I12:K12"/>
    <mergeCell ref="L12:N12"/>
    <mergeCell ref="O12:Q12"/>
  </mergeCells>
  <pageMargins left="0.7" right="0.7" top="0.75" bottom="0.75" header="0.3" footer="0.3"/>
  <pageSetup paperSize="9" scale="32" orientation="landscape" horizontalDpi="180" verticalDpi="180" r:id="rId1"/>
  <ignoredErrors>
    <ignoredError sqref="K47:K5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view="pageBreakPreview" topLeftCell="A40" zoomScale="85" zoomScaleSheetLayoutView="85" workbookViewId="0">
      <selection activeCell="F2" sqref="F2"/>
    </sheetView>
  </sheetViews>
  <sheetFormatPr defaultColWidth="12.28515625" defaultRowHeight="15"/>
  <cols>
    <col min="1" max="1" width="5.85546875" style="8" customWidth="1"/>
    <col min="2" max="2" width="27" style="7" customWidth="1"/>
    <col min="3" max="3" width="17.28515625" style="7" customWidth="1"/>
    <col min="4" max="4" width="13.5703125" style="7" customWidth="1"/>
    <col min="5" max="5" width="12.28515625" style="7"/>
    <col min="6" max="6" width="9.42578125" style="7" customWidth="1"/>
    <col min="7" max="7" width="17" style="7" customWidth="1"/>
    <col min="8" max="8" width="13.5703125" style="7" customWidth="1"/>
    <col min="9" max="9" width="10" style="7" customWidth="1"/>
    <col min="10" max="10" width="12.140625" style="7" customWidth="1"/>
    <col min="11" max="11" width="14.140625" style="7" customWidth="1"/>
    <col min="12" max="12" width="9.140625" style="7" customWidth="1"/>
    <col min="13" max="13" width="9.5703125" style="7" customWidth="1"/>
    <col min="14" max="14" width="10.7109375" style="7" customWidth="1"/>
    <col min="15" max="16384" width="12.28515625" style="7"/>
  </cols>
  <sheetData>
    <row r="1" spans="1:17" ht="15.75">
      <c r="A1" s="120" t="s">
        <v>242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3" spans="1:17" s="48" customFormat="1" ht="51" customHeight="1">
      <c r="A3" s="111" t="s">
        <v>130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</row>
    <row r="4" spans="1:17" s="49" customFormat="1" ht="12.75">
      <c r="A4" s="122" t="s">
        <v>132</v>
      </c>
      <c r="B4" s="121" t="s">
        <v>60</v>
      </c>
      <c r="C4" s="121" t="s">
        <v>61</v>
      </c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s="49" customFormat="1" ht="36" customHeight="1">
      <c r="A5" s="122"/>
      <c r="B5" s="121"/>
      <c r="C5" s="107" t="s">
        <v>62</v>
      </c>
      <c r="D5" s="107"/>
      <c r="E5" s="107"/>
      <c r="F5" s="107" t="s">
        <v>63</v>
      </c>
      <c r="G5" s="107"/>
      <c r="H5" s="107"/>
      <c r="I5" s="107" t="s">
        <v>64</v>
      </c>
      <c r="J5" s="107"/>
      <c r="K5" s="107"/>
      <c r="L5" s="107" t="s">
        <v>65</v>
      </c>
      <c r="M5" s="107"/>
      <c r="N5" s="107"/>
      <c r="O5" s="107" t="s">
        <v>66</v>
      </c>
      <c r="P5" s="107"/>
      <c r="Q5" s="107"/>
    </row>
    <row r="6" spans="1:17" s="49" customFormat="1" ht="51.75" customHeight="1">
      <c r="A6" s="122"/>
      <c r="B6" s="121"/>
      <c r="C6" s="43" t="s">
        <v>3</v>
      </c>
      <c r="D6" s="43" t="s">
        <v>131</v>
      </c>
      <c r="E6" s="43" t="s">
        <v>5</v>
      </c>
      <c r="F6" s="43" t="s">
        <v>3</v>
      </c>
      <c r="G6" s="43" t="s">
        <v>131</v>
      </c>
      <c r="H6" s="43" t="s">
        <v>5</v>
      </c>
      <c r="I6" s="43" t="s">
        <v>3</v>
      </c>
      <c r="J6" s="43" t="s">
        <v>131</v>
      </c>
      <c r="K6" s="43" t="s">
        <v>5</v>
      </c>
      <c r="L6" s="43" t="s">
        <v>3</v>
      </c>
      <c r="M6" s="43" t="s">
        <v>131</v>
      </c>
      <c r="N6" s="43" t="s">
        <v>5</v>
      </c>
      <c r="O6" s="43" t="s">
        <v>3</v>
      </c>
      <c r="P6" s="43" t="s">
        <v>131</v>
      </c>
      <c r="Q6" s="43" t="s">
        <v>5</v>
      </c>
    </row>
    <row r="7" spans="1:17" s="49" customFormat="1" ht="12.75">
      <c r="A7" s="50">
        <v>1</v>
      </c>
      <c r="B7" s="43">
        <v>2</v>
      </c>
      <c r="C7" s="43">
        <v>3</v>
      </c>
      <c r="D7" s="43">
        <v>4</v>
      </c>
      <c r="E7" s="43">
        <v>5</v>
      </c>
      <c r="F7" s="43">
        <v>6</v>
      </c>
      <c r="G7" s="43">
        <v>7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</row>
    <row r="8" spans="1:17" s="49" customFormat="1" ht="25.5">
      <c r="A8" s="50">
        <v>1</v>
      </c>
      <c r="B8" s="51" t="s">
        <v>67</v>
      </c>
      <c r="C8" s="43" t="s">
        <v>154</v>
      </c>
      <c r="D8" s="43" t="s">
        <v>154</v>
      </c>
      <c r="E8" s="43" t="s">
        <v>154</v>
      </c>
      <c r="F8" s="43" t="s">
        <v>154</v>
      </c>
      <c r="G8" s="43" t="s">
        <v>154</v>
      </c>
      <c r="H8" s="43" t="s">
        <v>154</v>
      </c>
      <c r="I8" s="43" t="s">
        <v>154</v>
      </c>
      <c r="J8" s="43" t="s">
        <v>154</v>
      </c>
      <c r="K8" s="43" t="s">
        <v>154</v>
      </c>
      <c r="L8" s="43" t="s">
        <v>154</v>
      </c>
      <c r="M8" s="43" t="s">
        <v>154</v>
      </c>
      <c r="N8" s="43" t="s">
        <v>154</v>
      </c>
      <c r="O8" s="43" t="s">
        <v>154</v>
      </c>
      <c r="P8" s="43" t="s">
        <v>154</v>
      </c>
      <c r="Q8" s="43" t="s">
        <v>154</v>
      </c>
    </row>
    <row r="9" spans="1:17" s="48" customFormat="1" ht="25.5">
      <c r="A9" s="50" t="s">
        <v>133</v>
      </c>
      <c r="B9" s="52" t="s">
        <v>68</v>
      </c>
      <c r="C9" s="43" t="s">
        <v>154</v>
      </c>
      <c r="D9" s="43" t="s">
        <v>154</v>
      </c>
      <c r="E9" s="43" t="s">
        <v>154</v>
      </c>
      <c r="F9" s="43" t="s">
        <v>154</v>
      </c>
      <c r="G9" s="43" t="s">
        <v>154</v>
      </c>
      <c r="H9" s="43" t="s">
        <v>154</v>
      </c>
      <c r="I9" s="43" t="s">
        <v>154</v>
      </c>
      <c r="J9" s="43" t="s">
        <v>154</v>
      </c>
      <c r="K9" s="43" t="s">
        <v>154</v>
      </c>
      <c r="L9" s="43" t="s">
        <v>154</v>
      </c>
      <c r="M9" s="43" t="s">
        <v>154</v>
      </c>
      <c r="N9" s="43" t="s">
        <v>154</v>
      </c>
      <c r="O9" s="43" t="s">
        <v>154</v>
      </c>
      <c r="P9" s="43" t="s">
        <v>154</v>
      </c>
      <c r="Q9" s="43" t="s">
        <v>154</v>
      </c>
    </row>
    <row r="10" spans="1:17" s="48" customFormat="1" ht="38.25">
      <c r="A10" s="50" t="s">
        <v>134</v>
      </c>
      <c r="B10" s="52" t="s">
        <v>69</v>
      </c>
      <c r="C10" s="43" t="s">
        <v>154</v>
      </c>
      <c r="D10" s="43" t="s">
        <v>154</v>
      </c>
      <c r="E10" s="43" t="s">
        <v>154</v>
      </c>
      <c r="F10" s="43" t="s">
        <v>154</v>
      </c>
      <c r="G10" s="43" t="s">
        <v>154</v>
      </c>
      <c r="H10" s="43" t="s">
        <v>154</v>
      </c>
      <c r="I10" s="43" t="s">
        <v>154</v>
      </c>
      <c r="J10" s="43" t="s">
        <v>154</v>
      </c>
      <c r="K10" s="43" t="s">
        <v>154</v>
      </c>
      <c r="L10" s="43" t="s">
        <v>154</v>
      </c>
      <c r="M10" s="43" t="s">
        <v>154</v>
      </c>
      <c r="N10" s="43" t="s">
        <v>154</v>
      </c>
      <c r="O10" s="43" t="s">
        <v>154</v>
      </c>
      <c r="P10" s="43" t="s">
        <v>154</v>
      </c>
      <c r="Q10" s="43" t="s">
        <v>154</v>
      </c>
    </row>
    <row r="11" spans="1:17" s="48" customFormat="1" ht="25.5">
      <c r="A11" s="50" t="s">
        <v>135</v>
      </c>
      <c r="B11" s="52" t="s">
        <v>70</v>
      </c>
      <c r="C11" s="43" t="s">
        <v>154</v>
      </c>
      <c r="D11" s="43" t="s">
        <v>154</v>
      </c>
      <c r="E11" s="43" t="s">
        <v>154</v>
      </c>
      <c r="F11" s="43" t="s">
        <v>154</v>
      </c>
      <c r="G11" s="43" t="s">
        <v>154</v>
      </c>
      <c r="H11" s="43" t="s">
        <v>154</v>
      </c>
      <c r="I11" s="43" t="s">
        <v>154</v>
      </c>
      <c r="J11" s="43" t="s">
        <v>154</v>
      </c>
      <c r="K11" s="43" t="s">
        <v>154</v>
      </c>
      <c r="L11" s="43" t="s">
        <v>154</v>
      </c>
      <c r="M11" s="43" t="s">
        <v>154</v>
      </c>
      <c r="N11" s="43" t="s">
        <v>154</v>
      </c>
      <c r="O11" s="43" t="s">
        <v>154</v>
      </c>
      <c r="P11" s="43" t="s">
        <v>154</v>
      </c>
      <c r="Q11" s="43" t="s">
        <v>154</v>
      </c>
    </row>
    <row r="12" spans="1:17" s="48" customFormat="1" ht="12.75">
      <c r="A12" s="50" t="s">
        <v>136</v>
      </c>
      <c r="B12" s="52" t="s">
        <v>71</v>
      </c>
      <c r="C12" s="43" t="s">
        <v>154</v>
      </c>
      <c r="D12" s="43" t="s">
        <v>154</v>
      </c>
      <c r="E12" s="43" t="s">
        <v>154</v>
      </c>
      <c r="F12" s="43" t="s">
        <v>154</v>
      </c>
      <c r="G12" s="43" t="s">
        <v>154</v>
      </c>
      <c r="H12" s="43" t="s">
        <v>154</v>
      </c>
      <c r="I12" s="43" t="s">
        <v>154</v>
      </c>
      <c r="J12" s="43" t="s">
        <v>154</v>
      </c>
      <c r="K12" s="43" t="s">
        <v>154</v>
      </c>
      <c r="L12" s="43" t="s">
        <v>154</v>
      </c>
      <c r="M12" s="43" t="s">
        <v>154</v>
      </c>
      <c r="N12" s="43" t="s">
        <v>154</v>
      </c>
      <c r="O12" s="43" t="s">
        <v>154</v>
      </c>
      <c r="P12" s="43" t="s">
        <v>154</v>
      </c>
      <c r="Q12" s="43" t="s">
        <v>154</v>
      </c>
    </row>
    <row r="13" spans="1:17" s="48" customFormat="1" ht="25.5">
      <c r="A13" s="50" t="s">
        <v>137</v>
      </c>
      <c r="B13" s="52" t="s">
        <v>72</v>
      </c>
      <c r="C13" s="43" t="s">
        <v>154</v>
      </c>
      <c r="D13" s="43" t="s">
        <v>154</v>
      </c>
      <c r="E13" s="43" t="s">
        <v>154</v>
      </c>
      <c r="F13" s="43" t="s">
        <v>154</v>
      </c>
      <c r="G13" s="43" t="s">
        <v>154</v>
      </c>
      <c r="H13" s="43" t="s">
        <v>154</v>
      </c>
      <c r="I13" s="43" t="s">
        <v>154</v>
      </c>
      <c r="J13" s="43" t="s">
        <v>154</v>
      </c>
      <c r="K13" s="43" t="s">
        <v>154</v>
      </c>
      <c r="L13" s="43" t="s">
        <v>154</v>
      </c>
      <c r="M13" s="43" t="s">
        <v>154</v>
      </c>
      <c r="N13" s="43" t="s">
        <v>154</v>
      </c>
      <c r="O13" s="43" t="s">
        <v>154</v>
      </c>
      <c r="P13" s="43" t="s">
        <v>154</v>
      </c>
      <c r="Q13" s="43" t="s">
        <v>154</v>
      </c>
    </row>
    <row r="14" spans="1:17" s="48" customFormat="1" ht="12.75">
      <c r="A14" s="50" t="s">
        <v>138</v>
      </c>
      <c r="B14" s="52" t="s">
        <v>73</v>
      </c>
      <c r="C14" s="43" t="s">
        <v>154</v>
      </c>
      <c r="D14" s="43" t="s">
        <v>154</v>
      </c>
      <c r="E14" s="43" t="s">
        <v>154</v>
      </c>
      <c r="F14" s="43" t="s">
        <v>154</v>
      </c>
      <c r="G14" s="43" t="s">
        <v>154</v>
      </c>
      <c r="H14" s="43" t="s">
        <v>154</v>
      </c>
      <c r="I14" s="43" t="s">
        <v>154</v>
      </c>
      <c r="J14" s="43" t="s">
        <v>154</v>
      </c>
      <c r="K14" s="43" t="s">
        <v>154</v>
      </c>
      <c r="L14" s="43" t="s">
        <v>154</v>
      </c>
      <c r="M14" s="43" t="s">
        <v>154</v>
      </c>
      <c r="N14" s="43" t="s">
        <v>154</v>
      </c>
      <c r="O14" s="43" t="s">
        <v>154</v>
      </c>
      <c r="P14" s="43" t="s">
        <v>154</v>
      </c>
      <c r="Q14" s="43" t="s">
        <v>154</v>
      </c>
    </row>
    <row r="15" spans="1:17" s="48" customFormat="1" ht="12.75">
      <c r="A15" s="50" t="s">
        <v>139</v>
      </c>
      <c r="B15" s="52" t="s">
        <v>74</v>
      </c>
      <c r="C15" s="43" t="s">
        <v>154</v>
      </c>
      <c r="D15" s="43" t="s">
        <v>154</v>
      </c>
      <c r="E15" s="43" t="s">
        <v>154</v>
      </c>
      <c r="F15" s="43" t="s">
        <v>154</v>
      </c>
      <c r="G15" s="43" t="s">
        <v>154</v>
      </c>
      <c r="H15" s="43" t="s">
        <v>154</v>
      </c>
      <c r="I15" s="43" t="s">
        <v>154</v>
      </c>
      <c r="J15" s="43" t="s">
        <v>154</v>
      </c>
      <c r="K15" s="43" t="s">
        <v>154</v>
      </c>
      <c r="L15" s="43" t="s">
        <v>154</v>
      </c>
      <c r="M15" s="43" t="s">
        <v>154</v>
      </c>
      <c r="N15" s="43" t="s">
        <v>154</v>
      </c>
      <c r="O15" s="43" t="s">
        <v>154</v>
      </c>
      <c r="P15" s="43" t="s">
        <v>154</v>
      </c>
      <c r="Q15" s="43" t="s">
        <v>154</v>
      </c>
    </row>
    <row r="16" spans="1:17" s="48" customFormat="1" ht="38.25">
      <c r="A16" s="50" t="s">
        <v>140</v>
      </c>
      <c r="B16" s="52" t="s">
        <v>75</v>
      </c>
      <c r="C16" s="43" t="s">
        <v>154</v>
      </c>
      <c r="D16" s="43" t="s">
        <v>154</v>
      </c>
      <c r="E16" s="43" t="s">
        <v>154</v>
      </c>
      <c r="F16" s="43" t="s">
        <v>154</v>
      </c>
      <c r="G16" s="43" t="s">
        <v>154</v>
      </c>
      <c r="H16" s="43" t="s">
        <v>154</v>
      </c>
      <c r="I16" s="43" t="s">
        <v>154</v>
      </c>
      <c r="J16" s="43" t="s">
        <v>154</v>
      </c>
      <c r="K16" s="43" t="s">
        <v>154</v>
      </c>
      <c r="L16" s="43" t="s">
        <v>154</v>
      </c>
      <c r="M16" s="43" t="s">
        <v>154</v>
      </c>
      <c r="N16" s="43" t="s">
        <v>154</v>
      </c>
      <c r="O16" s="43" t="s">
        <v>154</v>
      </c>
      <c r="P16" s="43" t="s">
        <v>154</v>
      </c>
      <c r="Q16" s="43" t="s">
        <v>154</v>
      </c>
    </row>
    <row r="17" spans="1:17" s="48" customFormat="1" ht="25.5">
      <c r="A17" s="50" t="s">
        <v>141</v>
      </c>
      <c r="B17" s="52" t="s">
        <v>76</v>
      </c>
      <c r="C17" s="43" t="s">
        <v>154</v>
      </c>
      <c r="D17" s="43" t="s">
        <v>154</v>
      </c>
      <c r="E17" s="43" t="s">
        <v>154</v>
      </c>
      <c r="F17" s="43" t="s">
        <v>154</v>
      </c>
      <c r="G17" s="43" t="s">
        <v>154</v>
      </c>
      <c r="H17" s="43" t="s">
        <v>154</v>
      </c>
      <c r="I17" s="43" t="s">
        <v>154</v>
      </c>
      <c r="J17" s="43" t="s">
        <v>154</v>
      </c>
      <c r="K17" s="43" t="s">
        <v>154</v>
      </c>
      <c r="L17" s="43" t="s">
        <v>154</v>
      </c>
      <c r="M17" s="43" t="s">
        <v>154</v>
      </c>
      <c r="N17" s="43" t="s">
        <v>154</v>
      </c>
      <c r="O17" s="43" t="s">
        <v>154</v>
      </c>
      <c r="P17" s="43" t="s">
        <v>154</v>
      </c>
      <c r="Q17" s="43" t="s">
        <v>154</v>
      </c>
    </row>
    <row r="18" spans="1:17" s="48" customFormat="1" ht="25.5">
      <c r="A18" s="50" t="s">
        <v>142</v>
      </c>
      <c r="B18" s="52" t="s">
        <v>77</v>
      </c>
      <c r="C18" s="43" t="s">
        <v>154</v>
      </c>
      <c r="D18" s="43" t="s">
        <v>154</v>
      </c>
      <c r="E18" s="43" t="s">
        <v>154</v>
      </c>
      <c r="F18" s="43" t="s">
        <v>154</v>
      </c>
      <c r="G18" s="43" t="s">
        <v>154</v>
      </c>
      <c r="H18" s="43" t="s">
        <v>154</v>
      </c>
      <c r="I18" s="43" t="s">
        <v>154</v>
      </c>
      <c r="J18" s="43" t="s">
        <v>154</v>
      </c>
      <c r="K18" s="43" t="s">
        <v>154</v>
      </c>
      <c r="L18" s="43" t="s">
        <v>154</v>
      </c>
      <c r="M18" s="43" t="s">
        <v>154</v>
      </c>
      <c r="N18" s="43" t="s">
        <v>154</v>
      </c>
      <c r="O18" s="43" t="s">
        <v>154</v>
      </c>
      <c r="P18" s="43" t="s">
        <v>154</v>
      </c>
      <c r="Q18" s="43" t="s">
        <v>154</v>
      </c>
    </row>
    <row r="19" spans="1:17" s="48" customFormat="1" ht="38.25">
      <c r="A19" s="50" t="s">
        <v>143</v>
      </c>
      <c r="B19" s="52" t="s">
        <v>69</v>
      </c>
      <c r="C19" s="43" t="s">
        <v>154</v>
      </c>
      <c r="D19" s="43" t="s">
        <v>154</v>
      </c>
      <c r="E19" s="43" t="s">
        <v>154</v>
      </c>
      <c r="F19" s="43" t="s">
        <v>154</v>
      </c>
      <c r="G19" s="43" t="s">
        <v>154</v>
      </c>
      <c r="H19" s="43" t="s">
        <v>154</v>
      </c>
      <c r="I19" s="43" t="s">
        <v>154</v>
      </c>
      <c r="J19" s="43" t="s">
        <v>154</v>
      </c>
      <c r="K19" s="43" t="s">
        <v>154</v>
      </c>
      <c r="L19" s="43" t="s">
        <v>154</v>
      </c>
      <c r="M19" s="43" t="s">
        <v>154</v>
      </c>
      <c r="N19" s="43" t="s">
        <v>154</v>
      </c>
      <c r="O19" s="43" t="s">
        <v>154</v>
      </c>
      <c r="P19" s="43" t="s">
        <v>154</v>
      </c>
      <c r="Q19" s="43" t="s">
        <v>154</v>
      </c>
    </row>
    <row r="20" spans="1:17" s="48" customFormat="1" ht="25.5">
      <c r="A20" s="50" t="s">
        <v>144</v>
      </c>
      <c r="B20" s="52" t="s">
        <v>70</v>
      </c>
      <c r="C20" s="43" t="s">
        <v>154</v>
      </c>
      <c r="D20" s="43" t="s">
        <v>154</v>
      </c>
      <c r="E20" s="43" t="s">
        <v>154</v>
      </c>
      <c r="F20" s="43" t="s">
        <v>154</v>
      </c>
      <c r="G20" s="43" t="s">
        <v>154</v>
      </c>
      <c r="H20" s="43" t="s">
        <v>154</v>
      </c>
      <c r="I20" s="43" t="s">
        <v>154</v>
      </c>
      <c r="J20" s="43" t="s">
        <v>154</v>
      </c>
      <c r="K20" s="43" t="s">
        <v>154</v>
      </c>
      <c r="L20" s="43" t="s">
        <v>154</v>
      </c>
      <c r="M20" s="43" t="s">
        <v>154</v>
      </c>
      <c r="N20" s="43" t="s">
        <v>154</v>
      </c>
      <c r="O20" s="43" t="s">
        <v>154</v>
      </c>
      <c r="P20" s="43" t="s">
        <v>154</v>
      </c>
      <c r="Q20" s="43" t="s">
        <v>154</v>
      </c>
    </row>
    <row r="21" spans="1:17" s="48" customFormat="1" ht="12.75">
      <c r="A21" s="50" t="s">
        <v>145</v>
      </c>
      <c r="B21" s="52" t="s">
        <v>71</v>
      </c>
      <c r="C21" s="43" t="s">
        <v>154</v>
      </c>
      <c r="D21" s="43" t="s">
        <v>154</v>
      </c>
      <c r="E21" s="43" t="s">
        <v>154</v>
      </c>
      <c r="F21" s="43" t="s">
        <v>154</v>
      </c>
      <c r="G21" s="43" t="s">
        <v>154</v>
      </c>
      <c r="H21" s="43" t="s">
        <v>154</v>
      </c>
      <c r="I21" s="43" t="s">
        <v>154</v>
      </c>
      <c r="J21" s="43" t="s">
        <v>154</v>
      </c>
      <c r="K21" s="43" t="s">
        <v>154</v>
      </c>
      <c r="L21" s="43" t="s">
        <v>154</v>
      </c>
      <c r="M21" s="43" t="s">
        <v>154</v>
      </c>
      <c r="N21" s="43" t="s">
        <v>154</v>
      </c>
      <c r="O21" s="43" t="s">
        <v>154</v>
      </c>
      <c r="P21" s="43" t="s">
        <v>154</v>
      </c>
      <c r="Q21" s="43" t="s">
        <v>154</v>
      </c>
    </row>
    <row r="22" spans="1:17" s="48" customFormat="1" ht="38.25">
      <c r="A22" s="50" t="s">
        <v>146</v>
      </c>
      <c r="B22" s="52" t="s">
        <v>78</v>
      </c>
      <c r="C22" s="43" t="s">
        <v>154</v>
      </c>
      <c r="D22" s="43" t="s">
        <v>154</v>
      </c>
      <c r="E22" s="43" t="s">
        <v>154</v>
      </c>
      <c r="F22" s="43" t="s">
        <v>154</v>
      </c>
      <c r="G22" s="43" t="s">
        <v>154</v>
      </c>
      <c r="H22" s="43" t="s">
        <v>154</v>
      </c>
      <c r="I22" s="43" t="s">
        <v>154</v>
      </c>
      <c r="J22" s="43" t="s">
        <v>154</v>
      </c>
      <c r="K22" s="43" t="s">
        <v>154</v>
      </c>
      <c r="L22" s="43" t="s">
        <v>154</v>
      </c>
      <c r="M22" s="43" t="s">
        <v>154</v>
      </c>
      <c r="N22" s="43" t="s">
        <v>154</v>
      </c>
      <c r="O22" s="43" t="s">
        <v>154</v>
      </c>
      <c r="P22" s="43" t="s">
        <v>154</v>
      </c>
      <c r="Q22" s="43" t="s">
        <v>154</v>
      </c>
    </row>
    <row r="23" spans="1:17" s="48" customFormat="1" ht="12.75">
      <c r="A23" s="50" t="s">
        <v>147</v>
      </c>
      <c r="B23" s="52" t="s">
        <v>73</v>
      </c>
      <c r="C23" s="43" t="s">
        <v>154</v>
      </c>
      <c r="D23" s="43" t="s">
        <v>154</v>
      </c>
      <c r="E23" s="43" t="s">
        <v>154</v>
      </c>
      <c r="F23" s="43" t="s">
        <v>154</v>
      </c>
      <c r="G23" s="43" t="s">
        <v>154</v>
      </c>
      <c r="H23" s="43" t="s">
        <v>154</v>
      </c>
      <c r="I23" s="43" t="s">
        <v>154</v>
      </c>
      <c r="J23" s="43" t="s">
        <v>154</v>
      </c>
      <c r="K23" s="43" t="s">
        <v>154</v>
      </c>
      <c r="L23" s="43" t="s">
        <v>154</v>
      </c>
      <c r="M23" s="43" t="s">
        <v>154</v>
      </c>
      <c r="N23" s="43" t="s">
        <v>154</v>
      </c>
      <c r="O23" s="43" t="s">
        <v>154</v>
      </c>
      <c r="P23" s="43" t="s">
        <v>154</v>
      </c>
      <c r="Q23" s="43" t="s">
        <v>154</v>
      </c>
    </row>
    <row r="24" spans="1:17" s="48" customFormat="1" ht="12.75">
      <c r="A24" s="50" t="s">
        <v>149</v>
      </c>
      <c r="B24" s="52" t="s">
        <v>148</v>
      </c>
      <c r="C24" s="43" t="s">
        <v>154</v>
      </c>
      <c r="D24" s="43" t="s">
        <v>154</v>
      </c>
      <c r="E24" s="43" t="s">
        <v>154</v>
      </c>
      <c r="F24" s="43" t="s">
        <v>154</v>
      </c>
      <c r="G24" s="43" t="s">
        <v>154</v>
      </c>
      <c r="H24" s="43" t="s">
        <v>154</v>
      </c>
      <c r="I24" s="43" t="s">
        <v>154</v>
      </c>
      <c r="J24" s="43" t="s">
        <v>154</v>
      </c>
      <c r="K24" s="43" t="s">
        <v>154</v>
      </c>
      <c r="L24" s="43" t="s">
        <v>154</v>
      </c>
      <c r="M24" s="43" t="s">
        <v>154</v>
      </c>
      <c r="N24" s="43" t="s">
        <v>154</v>
      </c>
      <c r="O24" s="43" t="s">
        <v>154</v>
      </c>
      <c r="P24" s="43" t="s">
        <v>154</v>
      </c>
      <c r="Q24" s="43" t="s">
        <v>154</v>
      </c>
    </row>
    <row r="25" spans="1:17" s="48" customFormat="1" ht="25.5">
      <c r="A25" s="50" t="s">
        <v>150</v>
      </c>
      <c r="B25" s="52" t="s">
        <v>26</v>
      </c>
      <c r="C25" s="43" t="s">
        <v>154</v>
      </c>
      <c r="D25" s="43" t="s">
        <v>154</v>
      </c>
      <c r="E25" s="43" t="s">
        <v>154</v>
      </c>
      <c r="F25" s="43" t="s">
        <v>154</v>
      </c>
      <c r="G25" s="43" t="s">
        <v>154</v>
      </c>
      <c r="H25" s="43" t="s">
        <v>154</v>
      </c>
      <c r="I25" s="43" t="s">
        <v>154</v>
      </c>
      <c r="J25" s="43" t="s">
        <v>154</v>
      </c>
      <c r="K25" s="43" t="s">
        <v>154</v>
      </c>
      <c r="L25" s="43" t="s">
        <v>154</v>
      </c>
      <c r="M25" s="43" t="s">
        <v>154</v>
      </c>
      <c r="N25" s="43" t="s">
        <v>154</v>
      </c>
      <c r="O25" s="43" t="s">
        <v>154</v>
      </c>
      <c r="P25" s="43" t="s">
        <v>154</v>
      </c>
      <c r="Q25" s="43" t="s">
        <v>154</v>
      </c>
    </row>
    <row r="26" spans="1:17" s="48" customFormat="1" ht="38.25">
      <c r="A26" s="50" t="s">
        <v>151</v>
      </c>
      <c r="B26" s="52" t="s">
        <v>79</v>
      </c>
      <c r="C26" s="43" t="s">
        <v>154</v>
      </c>
      <c r="D26" s="43" t="s">
        <v>154</v>
      </c>
      <c r="E26" s="43" t="s">
        <v>154</v>
      </c>
      <c r="F26" s="43" t="s">
        <v>154</v>
      </c>
      <c r="G26" s="43" t="s">
        <v>154</v>
      </c>
      <c r="H26" s="43" t="s">
        <v>154</v>
      </c>
      <c r="I26" s="43" t="s">
        <v>154</v>
      </c>
      <c r="J26" s="43" t="s">
        <v>154</v>
      </c>
      <c r="K26" s="43" t="s">
        <v>154</v>
      </c>
      <c r="L26" s="43" t="s">
        <v>154</v>
      </c>
      <c r="M26" s="43" t="s">
        <v>154</v>
      </c>
      <c r="N26" s="43" t="s">
        <v>154</v>
      </c>
      <c r="O26" s="43" t="s">
        <v>154</v>
      </c>
      <c r="P26" s="43" t="s">
        <v>154</v>
      </c>
      <c r="Q26" s="43" t="s">
        <v>154</v>
      </c>
    </row>
    <row r="27" spans="1:17" s="48" customFormat="1" ht="25.5">
      <c r="A27" s="50" t="s">
        <v>152</v>
      </c>
      <c r="B27" s="52" t="s">
        <v>80</v>
      </c>
      <c r="C27" s="43" t="s">
        <v>154</v>
      </c>
      <c r="D27" s="43" t="s">
        <v>154</v>
      </c>
      <c r="E27" s="43" t="s">
        <v>154</v>
      </c>
      <c r="F27" s="43" t="s">
        <v>154</v>
      </c>
      <c r="G27" s="43" t="s">
        <v>154</v>
      </c>
      <c r="H27" s="43" t="s">
        <v>154</v>
      </c>
      <c r="I27" s="43" t="s">
        <v>154</v>
      </c>
      <c r="J27" s="43" t="s">
        <v>154</v>
      </c>
      <c r="K27" s="43" t="s">
        <v>154</v>
      </c>
      <c r="L27" s="43" t="s">
        <v>154</v>
      </c>
      <c r="M27" s="43" t="s">
        <v>154</v>
      </c>
      <c r="N27" s="43" t="s">
        <v>154</v>
      </c>
      <c r="O27" s="43" t="s">
        <v>154</v>
      </c>
      <c r="P27" s="43" t="s">
        <v>154</v>
      </c>
      <c r="Q27" s="43" t="s">
        <v>154</v>
      </c>
    </row>
    <row r="28" spans="1:17" s="48" customFormat="1" ht="12.75">
      <c r="A28" s="50" t="s">
        <v>153</v>
      </c>
      <c r="B28" s="52" t="s">
        <v>73</v>
      </c>
      <c r="C28" s="43" t="s">
        <v>154</v>
      </c>
      <c r="D28" s="43" t="s">
        <v>154</v>
      </c>
      <c r="E28" s="43" t="s">
        <v>154</v>
      </c>
      <c r="F28" s="43" t="s">
        <v>154</v>
      </c>
      <c r="G28" s="43" t="s">
        <v>154</v>
      </c>
      <c r="H28" s="43" t="s">
        <v>154</v>
      </c>
      <c r="I28" s="43" t="s">
        <v>154</v>
      </c>
      <c r="J28" s="43" t="s">
        <v>154</v>
      </c>
      <c r="K28" s="43" t="s">
        <v>154</v>
      </c>
      <c r="L28" s="43" t="s">
        <v>154</v>
      </c>
      <c r="M28" s="43" t="s">
        <v>154</v>
      </c>
      <c r="N28" s="43" t="s">
        <v>154</v>
      </c>
      <c r="O28" s="43" t="s">
        <v>154</v>
      </c>
      <c r="P28" s="43" t="s">
        <v>154</v>
      </c>
      <c r="Q28" s="43" t="s">
        <v>154</v>
      </c>
    </row>
    <row r="29" spans="1:17" s="48" customFormat="1" ht="12.75">
      <c r="A29" s="53"/>
    </row>
    <row r="30" spans="1:17" s="48" customFormat="1" ht="12.75">
      <c r="A30" s="111" t="s">
        <v>81</v>
      </c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</row>
    <row r="31" spans="1:17" s="49" customFormat="1" ht="159" customHeight="1">
      <c r="A31" s="50" t="s">
        <v>132</v>
      </c>
      <c r="B31" s="43" t="s">
        <v>82</v>
      </c>
      <c r="C31" s="43" t="s">
        <v>83</v>
      </c>
      <c r="D31" s="43" t="s">
        <v>84</v>
      </c>
      <c r="E31" s="43" t="s">
        <v>85</v>
      </c>
      <c r="F31" s="43" t="s">
        <v>86</v>
      </c>
      <c r="G31" s="43" t="s">
        <v>87</v>
      </c>
      <c r="H31" s="43" t="s">
        <v>88</v>
      </c>
      <c r="I31" s="43" t="s">
        <v>89</v>
      </c>
      <c r="J31" s="43" t="s">
        <v>90</v>
      </c>
      <c r="K31" s="43" t="s">
        <v>91</v>
      </c>
    </row>
    <row r="32" spans="1:17" s="48" customFormat="1" ht="12.75">
      <c r="A32" s="54">
        <v>1</v>
      </c>
      <c r="B32" s="43">
        <v>2</v>
      </c>
      <c r="C32" s="54">
        <v>3</v>
      </c>
      <c r="D32" s="43">
        <v>4</v>
      </c>
      <c r="E32" s="54">
        <v>5</v>
      </c>
      <c r="F32" s="43">
        <v>6</v>
      </c>
      <c r="G32" s="54">
        <v>7</v>
      </c>
      <c r="H32" s="43">
        <v>8</v>
      </c>
      <c r="I32" s="54">
        <v>9</v>
      </c>
      <c r="J32" s="43">
        <v>10</v>
      </c>
      <c r="K32" s="54">
        <v>11</v>
      </c>
    </row>
    <row r="33" spans="1:17" s="48" customFormat="1" ht="98.25" customHeight="1">
      <c r="A33" s="50" t="s">
        <v>155</v>
      </c>
      <c r="B33" s="123" t="s">
        <v>157</v>
      </c>
      <c r="C33" s="52" t="s">
        <v>205</v>
      </c>
      <c r="D33" s="52" t="s">
        <v>158</v>
      </c>
      <c r="E33" s="52" t="s">
        <v>239</v>
      </c>
      <c r="F33" s="55" t="s">
        <v>204</v>
      </c>
      <c r="G33" s="123" t="s">
        <v>119</v>
      </c>
      <c r="H33" s="43" t="s">
        <v>154</v>
      </c>
      <c r="I33" s="43" t="s">
        <v>154</v>
      </c>
      <c r="J33" s="43" t="s">
        <v>154</v>
      </c>
      <c r="K33" s="43" t="s">
        <v>154</v>
      </c>
    </row>
    <row r="34" spans="1:17" s="48" customFormat="1" ht="183.75" customHeight="1">
      <c r="A34" s="50" t="s">
        <v>139</v>
      </c>
      <c r="B34" s="124"/>
      <c r="C34" s="52" t="s">
        <v>206</v>
      </c>
      <c r="D34" s="125" t="s">
        <v>240</v>
      </c>
      <c r="E34" s="125"/>
      <c r="F34" s="55" t="s">
        <v>120</v>
      </c>
      <c r="G34" s="124"/>
      <c r="H34" s="43" t="s">
        <v>154</v>
      </c>
      <c r="I34" s="43" t="s">
        <v>154</v>
      </c>
      <c r="J34" s="43" t="s">
        <v>154</v>
      </c>
      <c r="K34" s="43" t="s">
        <v>154</v>
      </c>
    </row>
    <row r="35" spans="1:17" s="48" customFormat="1" ht="12.75">
      <c r="A35" s="53"/>
    </row>
    <row r="36" spans="1:17" s="48" customFormat="1" ht="12.75">
      <c r="A36" s="111" t="s">
        <v>159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</row>
    <row r="37" spans="1:17" s="48" customFormat="1" ht="12.75">
      <c r="A37" s="53"/>
    </row>
    <row r="38" spans="1:17" s="48" customFormat="1" ht="12.75">
      <c r="A38" s="50" t="s">
        <v>132</v>
      </c>
      <c r="B38" s="43" t="s">
        <v>92</v>
      </c>
      <c r="C38" s="52"/>
      <c r="D38" s="52"/>
    </row>
    <row r="39" spans="1:17" s="48" customFormat="1" ht="89.25">
      <c r="A39" s="50" t="s">
        <v>155</v>
      </c>
      <c r="B39" s="52" t="s">
        <v>160</v>
      </c>
      <c r="C39" s="52" t="s">
        <v>93</v>
      </c>
      <c r="D39" s="43" t="s">
        <v>241</v>
      </c>
    </row>
    <row r="40" spans="1:17" s="48" customFormat="1" ht="51">
      <c r="A40" s="50" t="s">
        <v>139</v>
      </c>
      <c r="B40" s="52" t="s">
        <v>161</v>
      </c>
      <c r="C40" s="52" t="s">
        <v>94</v>
      </c>
      <c r="D40" s="43" t="s">
        <v>154</v>
      </c>
    </row>
    <row r="41" spans="1:17" s="48" customFormat="1" ht="51">
      <c r="A41" s="50" t="s">
        <v>140</v>
      </c>
      <c r="B41" s="52" t="s">
        <v>95</v>
      </c>
      <c r="C41" s="52" t="s">
        <v>94</v>
      </c>
      <c r="D41" s="43" t="s">
        <v>154</v>
      </c>
    </row>
    <row r="42" spans="1:17" s="48" customFormat="1" ht="63.75">
      <c r="A42" s="50" t="s">
        <v>143</v>
      </c>
      <c r="B42" s="52" t="s">
        <v>96</v>
      </c>
      <c r="C42" s="52" t="s">
        <v>94</v>
      </c>
      <c r="D42" s="43" t="s">
        <v>154</v>
      </c>
    </row>
    <row r="43" spans="1:17" s="48" customFormat="1" ht="63.75">
      <c r="A43" s="50" t="s">
        <v>149</v>
      </c>
      <c r="B43" s="52" t="s">
        <v>97</v>
      </c>
      <c r="C43" s="52" t="s">
        <v>162</v>
      </c>
      <c r="D43" s="43" t="s">
        <v>154</v>
      </c>
    </row>
    <row r="44" spans="1:17" s="48" customFormat="1" ht="63.75">
      <c r="A44" s="50" t="s">
        <v>156</v>
      </c>
      <c r="B44" s="52" t="s">
        <v>98</v>
      </c>
      <c r="C44" s="52" t="s">
        <v>162</v>
      </c>
      <c r="D44" s="43" t="s">
        <v>154</v>
      </c>
    </row>
    <row r="45" spans="1:17" s="48" customFormat="1" ht="12.75">
      <c r="A45" s="53"/>
    </row>
    <row r="46" spans="1:17" s="44" customFormat="1" ht="54" customHeight="1">
      <c r="A46" s="111" t="s">
        <v>163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1:17" s="48" customFormat="1" ht="15" customHeight="1">
      <c r="A47" s="111" t="s">
        <v>164</v>
      </c>
      <c r="B47" s="111"/>
      <c r="C47" s="111"/>
      <c r="D47" s="111"/>
      <c r="E47" s="111"/>
      <c r="F47" s="111"/>
      <c r="G47" s="111"/>
      <c r="H47" s="111"/>
      <c r="I47" s="111"/>
      <c r="J47" s="111"/>
    </row>
    <row r="48" spans="1:17" s="48" customFormat="1" ht="12.75">
      <c r="A48" s="53"/>
    </row>
    <row r="49" spans="1:41" s="48" customFormat="1" ht="12.75">
      <c r="A49" s="111" t="s">
        <v>165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</row>
    <row r="50" spans="1:41" s="48" customFormat="1" ht="38.25" customHeight="1">
      <c r="A50" s="111" t="s">
        <v>166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</row>
    <row r="51" spans="1:41" s="48" customFormat="1" ht="12.75">
      <c r="A51" s="119" t="s">
        <v>167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</row>
    <row r="52" spans="1:41" s="48" customFormat="1" ht="12.75">
      <c r="A52" s="53"/>
    </row>
    <row r="53" spans="1:41" s="48" customFormat="1" ht="35.25" customHeight="1">
      <c r="A53" s="126" t="s">
        <v>168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</row>
    <row r="54" spans="1:41" s="48" customFormat="1" ht="12.75">
      <c r="A54" s="127" t="s">
        <v>169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</row>
    <row r="55" spans="1:41" s="48" customFormat="1" ht="12.75">
      <c r="A55" s="53"/>
    </row>
    <row r="56" spans="1:41" s="48" customFormat="1" ht="12.75">
      <c r="A56" s="126" t="s">
        <v>170</v>
      </c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</row>
    <row r="57" spans="1:41" s="48" customFormat="1" ht="12.75">
      <c r="A57" s="119" t="s">
        <v>171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</row>
    <row r="58" spans="1:41" s="48" customFormat="1" ht="12.75">
      <c r="A58" s="119" t="s">
        <v>172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</row>
    <row r="59" spans="1:41" s="48" customFormat="1" ht="12.75">
      <c r="A59" s="53"/>
    </row>
    <row r="60" spans="1:41" s="48" customFormat="1" ht="12.75">
      <c r="A60" s="111" t="s">
        <v>173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</row>
    <row r="61" spans="1:41" s="49" customFormat="1" ht="39.75" customHeight="1">
      <c r="A61" s="122" t="s">
        <v>132</v>
      </c>
      <c r="B61" s="107" t="s">
        <v>174</v>
      </c>
      <c r="C61" s="107" t="s">
        <v>175</v>
      </c>
      <c r="D61" s="107" t="s">
        <v>176</v>
      </c>
      <c r="E61" s="107" t="s">
        <v>177</v>
      </c>
      <c r="F61" s="107"/>
      <c r="G61" s="107"/>
      <c r="H61" s="107"/>
      <c r="I61" s="107" t="s">
        <v>182</v>
      </c>
      <c r="J61" s="107"/>
      <c r="K61" s="107"/>
      <c r="L61" s="107"/>
      <c r="M61" s="107"/>
      <c r="N61" s="107"/>
      <c r="O61" s="107" t="s">
        <v>188</v>
      </c>
      <c r="P61" s="107"/>
      <c r="Q61" s="107"/>
      <c r="R61" s="107"/>
      <c r="S61" s="107"/>
      <c r="T61" s="107"/>
      <c r="U61" s="107"/>
      <c r="V61" s="107" t="s">
        <v>192</v>
      </c>
      <c r="W61" s="107"/>
      <c r="X61" s="107"/>
      <c r="Y61" s="107"/>
      <c r="Z61" s="107" t="s">
        <v>196</v>
      </c>
      <c r="AA61" s="107"/>
      <c r="AB61" s="107"/>
      <c r="AC61" s="107" t="s">
        <v>200</v>
      </c>
      <c r="AD61" s="107"/>
    </row>
    <row r="62" spans="1:41" s="49" customFormat="1" ht="211.5" customHeight="1">
      <c r="A62" s="122"/>
      <c r="B62" s="107"/>
      <c r="C62" s="107"/>
      <c r="D62" s="107"/>
      <c r="E62" s="56" t="s">
        <v>178</v>
      </c>
      <c r="F62" s="56" t="s">
        <v>179</v>
      </c>
      <c r="G62" s="56" t="s">
        <v>180</v>
      </c>
      <c r="H62" s="56" t="s">
        <v>181</v>
      </c>
      <c r="I62" s="56" t="s">
        <v>183</v>
      </c>
      <c r="J62" s="56" t="s">
        <v>184</v>
      </c>
      <c r="K62" s="56" t="s">
        <v>185</v>
      </c>
      <c r="L62" s="56" t="s">
        <v>186</v>
      </c>
      <c r="M62" s="56" t="s">
        <v>187</v>
      </c>
      <c r="N62" s="56" t="s">
        <v>66</v>
      </c>
      <c r="O62" s="56" t="s">
        <v>189</v>
      </c>
      <c r="P62" s="56" t="s">
        <v>190</v>
      </c>
      <c r="Q62" s="56" t="s">
        <v>191</v>
      </c>
      <c r="R62" s="56" t="s">
        <v>185</v>
      </c>
      <c r="S62" s="56" t="s">
        <v>186</v>
      </c>
      <c r="T62" s="56" t="s">
        <v>187</v>
      </c>
      <c r="U62" s="56" t="s">
        <v>66</v>
      </c>
      <c r="V62" s="56" t="s">
        <v>193</v>
      </c>
      <c r="W62" s="56" t="s">
        <v>194</v>
      </c>
      <c r="X62" s="56" t="s">
        <v>195</v>
      </c>
      <c r="Y62" s="56" t="s">
        <v>66</v>
      </c>
      <c r="Z62" s="56" t="s">
        <v>197</v>
      </c>
      <c r="AA62" s="56" t="s">
        <v>198</v>
      </c>
      <c r="AB62" s="56" t="s">
        <v>199</v>
      </c>
      <c r="AC62" s="56" t="s">
        <v>201</v>
      </c>
      <c r="AD62" s="56" t="s">
        <v>202</v>
      </c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</row>
    <row r="63" spans="1:41" s="48" customFormat="1" ht="12.75">
      <c r="A63" s="54">
        <v>1</v>
      </c>
      <c r="B63" s="43">
        <v>2</v>
      </c>
      <c r="C63" s="54">
        <v>3</v>
      </c>
      <c r="D63" s="43">
        <v>4</v>
      </c>
      <c r="E63" s="54">
        <v>5</v>
      </c>
      <c r="F63" s="43">
        <v>6</v>
      </c>
      <c r="G63" s="54">
        <v>7</v>
      </c>
      <c r="H63" s="43">
        <v>8</v>
      </c>
      <c r="I63" s="54">
        <v>9</v>
      </c>
      <c r="J63" s="43">
        <v>10</v>
      </c>
      <c r="K63" s="54">
        <v>11</v>
      </c>
      <c r="L63" s="43">
        <v>12</v>
      </c>
      <c r="M63" s="54">
        <v>13</v>
      </c>
      <c r="N63" s="43">
        <v>14</v>
      </c>
      <c r="O63" s="54">
        <v>15</v>
      </c>
      <c r="P63" s="43">
        <v>16</v>
      </c>
      <c r="Q63" s="54">
        <v>17</v>
      </c>
      <c r="R63" s="43">
        <v>18</v>
      </c>
      <c r="S63" s="54">
        <v>19</v>
      </c>
      <c r="T63" s="43">
        <v>20</v>
      </c>
      <c r="U63" s="54">
        <v>21</v>
      </c>
      <c r="V63" s="43">
        <v>22</v>
      </c>
      <c r="W63" s="54">
        <v>23</v>
      </c>
      <c r="X63" s="43">
        <v>24</v>
      </c>
      <c r="Y63" s="54">
        <v>25</v>
      </c>
      <c r="Z63" s="43">
        <v>26</v>
      </c>
      <c r="AA63" s="54">
        <v>27</v>
      </c>
      <c r="AB63" s="43">
        <v>28</v>
      </c>
      <c r="AC63" s="54">
        <v>29</v>
      </c>
      <c r="AD63" s="43">
        <v>30</v>
      </c>
    </row>
    <row r="64" spans="1:41" s="48" customFormat="1" ht="12.75">
      <c r="A64" s="50" t="s">
        <v>154</v>
      </c>
      <c r="B64" s="50" t="s">
        <v>154</v>
      </c>
      <c r="C64" s="50" t="s">
        <v>154</v>
      </c>
      <c r="D64" s="50" t="s">
        <v>154</v>
      </c>
      <c r="E64" s="50" t="s">
        <v>154</v>
      </c>
      <c r="F64" s="50" t="s">
        <v>154</v>
      </c>
      <c r="G64" s="50" t="s">
        <v>154</v>
      </c>
      <c r="H64" s="50" t="s">
        <v>154</v>
      </c>
      <c r="I64" s="50" t="s">
        <v>154</v>
      </c>
      <c r="J64" s="50" t="s">
        <v>154</v>
      </c>
      <c r="K64" s="50" t="s">
        <v>154</v>
      </c>
      <c r="L64" s="50" t="s">
        <v>154</v>
      </c>
      <c r="M64" s="50" t="s">
        <v>154</v>
      </c>
      <c r="N64" s="50" t="s">
        <v>154</v>
      </c>
      <c r="O64" s="50" t="s">
        <v>154</v>
      </c>
      <c r="P64" s="50" t="s">
        <v>154</v>
      </c>
      <c r="Q64" s="50" t="s">
        <v>154</v>
      </c>
      <c r="R64" s="50" t="s">
        <v>154</v>
      </c>
      <c r="S64" s="50" t="s">
        <v>154</v>
      </c>
      <c r="T64" s="50" t="s">
        <v>154</v>
      </c>
      <c r="U64" s="50" t="s">
        <v>154</v>
      </c>
      <c r="V64" s="50" t="s">
        <v>154</v>
      </c>
      <c r="W64" s="50" t="s">
        <v>154</v>
      </c>
      <c r="X64" s="50" t="s">
        <v>154</v>
      </c>
      <c r="Y64" s="50" t="s">
        <v>154</v>
      </c>
      <c r="Z64" s="50" t="s">
        <v>154</v>
      </c>
      <c r="AA64" s="50" t="s">
        <v>154</v>
      </c>
      <c r="AB64" s="50" t="s">
        <v>154</v>
      </c>
      <c r="AC64" s="50" t="s">
        <v>154</v>
      </c>
      <c r="AD64" s="50" t="s">
        <v>154</v>
      </c>
    </row>
    <row r="65" spans="1:12" s="48" customFormat="1" ht="12.75">
      <c r="A65" s="53"/>
    </row>
    <row r="66" spans="1:12" s="48" customFormat="1" ht="12.75">
      <c r="A66" s="128" t="s">
        <v>203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</sheetData>
  <mergeCells count="37">
    <mergeCell ref="A66:L66"/>
    <mergeCell ref="I61:N61"/>
    <mergeCell ref="O61:U61"/>
    <mergeCell ref="V61:Y61"/>
    <mergeCell ref="Z61:AB61"/>
    <mergeCell ref="AC61:AD61"/>
    <mergeCell ref="E61:H61"/>
    <mergeCell ref="A61:A62"/>
    <mergeCell ref="B61:B62"/>
    <mergeCell ref="C61:C62"/>
    <mergeCell ref="D61:D62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0:Q30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</mergeCells>
  <pageMargins left="0.7" right="0.7" top="0.75" bottom="0.75" header="0.3" footer="0.3"/>
  <pageSetup paperSize="9" scale="34" orientation="landscape" r:id="rId1"/>
  <rowBreaks count="1" manualBreakCount="1">
    <brk id="35" max="16383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 Общ. инфор.</vt:lpstr>
      <vt:lpstr>2 Показат. кач. передача</vt:lpstr>
      <vt:lpstr>3 Показатели кач. тех. прис.</vt:lpstr>
      <vt:lpstr>4 Качество обслуживания</vt:lpstr>
      <vt:lpstr>'1 Общ. инфор.'!Область_печати</vt:lpstr>
      <vt:lpstr>'2 Показат. кач. передача'!Область_печати</vt:lpstr>
      <vt:lpstr>'3 Показатели кач. тех. прис.'!Область_печати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2016-03-16T09:26:06Z</dcterms:modified>
</cp:coreProperties>
</file>