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786"/>
  </bookViews>
  <sheets>
    <sheet name="1 Общ. инфор." sheetId="8" r:id="rId1"/>
    <sheet name="2 Показат. кач. передача" sheetId="1" r:id="rId2"/>
    <sheet name="3 Показатели кач. тех. прис." sheetId="3" r:id="rId3"/>
    <sheet name="4 Качество обслуживания" sheetId="4" r:id="rId4"/>
  </sheets>
  <definedNames>
    <definedName name="_xlnm.Print_Area" localSheetId="0">'1 Общ. инфор.'!$A$1:$N$34</definedName>
    <definedName name="_xlnm.Print_Area" localSheetId="1">'2 Показат. кач. передача'!$A$1:$T$49</definedName>
    <definedName name="_xlnm.Print_Area" localSheetId="2">'3 Показатели кач. тех. прис.'!$A$1:$R$55</definedName>
  </definedNames>
  <calcPr calcId="124519"/>
</workbook>
</file>

<file path=xl/calcChain.xml><?xml version="1.0" encoding="utf-8"?>
<calcChain xmlns="http://schemas.openxmlformats.org/spreadsheetml/2006/main">
  <c r="D18" i="1"/>
  <c r="D17"/>
  <c r="C12"/>
  <c r="C11"/>
  <c r="S41"/>
  <c r="R41"/>
  <c r="Q41"/>
  <c r="P41"/>
  <c r="O41"/>
  <c r="L41"/>
  <c r="K41"/>
  <c r="H41"/>
  <c r="G41"/>
  <c r="D41"/>
  <c r="C41"/>
  <c r="N40"/>
  <c r="N41" s="1"/>
  <c r="M40"/>
  <c r="M41" s="1"/>
  <c r="J40"/>
  <c r="J41" s="1"/>
  <c r="I40"/>
  <c r="I41" s="1"/>
  <c r="E40"/>
  <c r="E41" s="1"/>
  <c r="E19"/>
  <c r="E24" s="1"/>
  <c r="E13"/>
  <c r="E17" s="1"/>
  <c r="D12"/>
  <c r="F40" s="1"/>
  <c r="F41" s="1"/>
  <c r="D11"/>
  <c r="E7"/>
  <c r="E12" s="1"/>
  <c r="E23" l="1"/>
  <c r="E18"/>
  <c r="E11"/>
  <c r="R16" i="3"/>
  <c r="R17"/>
  <c r="R18"/>
  <c r="R19"/>
  <c r="R20"/>
  <c r="R21"/>
  <c r="R22"/>
  <c r="R23"/>
  <c r="R24"/>
  <c r="R25"/>
  <c r="R26"/>
  <c r="R15"/>
  <c r="H16"/>
  <c r="H20"/>
  <c r="H21"/>
  <c r="H22"/>
  <c r="H26"/>
  <c r="H15"/>
  <c r="E16"/>
  <c r="E20"/>
  <c r="E21"/>
  <c r="E22"/>
  <c r="E26"/>
  <c r="E15"/>
  <c r="K52" l="1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F8" i="8"/>
  <c r="L52" i="3"/>
  <c r="J52"/>
  <c r="H52"/>
  <c r="F52"/>
  <c r="L51"/>
  <c r="J51"/>
  <c r="H51"/>
  <c r="F51"/>
  <c r="L50"/>
  <c r="J50"/>
  <c r="H50"/>
  <c r="F50"/>
  <c r="L49"/>
  <c r="J49"/>
  <c r="H49"/>
  <c r="F49"/>
  <c r="L48"/>
  <c r="J48"/>
  <c r="H48"/>
  <c r="F48"/>
  <c r="L47"/>
  <c r="J47"/>
  <c r="H47"/>
  <c r="F47"/>
  <c r="L46"/>
  <c r="J46"/>
  <c r="H46"/>
  <c r="F46"/>
  <c r="L45"/>
  <c r="J45"/>
  <c r="H45"/>
  <c r="F45"/>
  <c r="L44"/>
  <c r="J44"/>
  <c r="H44"/>
  <c r="F44"/>
  <c r="L43"/>
  <c r="J43"/>
  <c r="H43"/>
  <c r="F43"/>
  <c r="L42"/>
  <c r="J42"/>
  <c r="H42"/>
  <c r="F42"/>
  <c r="L41"/>
  <c r="J41"/>
  <c r="H41"/>
  <c r="F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</calcChain>
</file>

<file path=xl/sharedStrings.xml><?xml version="1.0" encoding="utf-8"?>
<sst xmlns="http://schemas.openxmlformats.org/spreadsheetml/2006/main" count="485" uniqueCount="264">
  <si>
    <t>Показатель</t>
  </si>
  <si>
    <t>Значение показателя, годы</t>
  </si>
  <si>
    <t>N</t>
  </si>
  <si>
    <t>N-1</t>
  </si>
  <si>
    <t>N (текущий год)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</si>
  <si>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</si>
  <si>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</si>
  <si>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</si>
  <si>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</si>
  <si>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</si>
  <si>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</si>
  <si>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</si>
  <si>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</si>
  <si>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</si>
  <si>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</si>
  <si>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</si>
  <si>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</si>
  <si>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</si>
  <si>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</si>
  <si>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</si>
  <si>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</si>
  <si>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</si>
  <si>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</si>
  <si>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n</t>
  </si>
  <si>
    <t>Всего по сетевой организации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</si>
  <si>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</t>
  </si>
  <si>
    <t>по технологическому присоединению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</si>
  <si>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</si>
  <si>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</si>
  <si>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</si>
  <si>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</si>
  <si>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</si>
  <si>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</si>
  <si>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</si>
  <si>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</si>
  <si>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</si>
  <si>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</si>
  <si>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</si>
  <si>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</si>
  <si>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</si>
  <si>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</si>
  <si>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</si>
  <si>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</si>
  <si>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</si>
  <si>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</si>
  <si>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</si>
  <si>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</si>
  <si>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</si>
  <si>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</si>
  <si>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</si>
  <si>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</si>
  <si>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</si>
  <si>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</si>
  <si>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</si>
  <si>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</si>
  <si>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</si>
  <si>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Да</t>
  </si>
  <si>
    <t>КЛ</t>
  </si>
  <si>
    <t>ВЛ</t>
  </si>
  <si>
    <t>Нет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</si>
  <si>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</si>
  <si>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</si>
  <si>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</si>
  <si>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</si>
  <si>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</si>
  <si>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</si>
  <si>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</si>
  <si>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</si>
  <si>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</si>
  <si>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</si>
  <si>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</si>
  <si>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</si>
  <si>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</si>
  <si>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</si>
  <si>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</si>
  <si>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</si>
  <si>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</si>
  <si>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</si>
  <si>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</si>
  <si>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</si>
  <si>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</si>
  <si>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4.2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</si>
  <si>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</si>
  <si>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</si>
  <si>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</si>
  <si>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</si>
  <si>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</si>
  <si>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</si>
  <si>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</si>
  <si>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</si>
  <si>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</si>
  <si>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</si>
  <si>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</si>
  <si>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номер телефона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</si>
  <si>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</si>
  <si>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</si>
  <si>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</si>
  <si>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</si>
  <si>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</si>
  <si>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1.1.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</si>
  <si>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</si>
  <si>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</si>
  <si>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</si>
  <si>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</si>
  <si>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</si>
  <si>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</si>
  <si>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</si>
  <si>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</si>
  <si>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</si>
  <si>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</si>
  <si>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</si>
  <si>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</si>
  <si>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</si>
  <si>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</si>
  <si>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</si>
  <si>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</si>
  <si>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7.1.</t>
  </si>
  <si>
    <t>7.2.</t>
  </si>
  <si>
    <t>-</t>
  </si>
  <si>
    <t>Прием и консультации потребителей электрической энергии и мощности в части технологического присоединения, оказания услуг по передаче электрической энергии и мощности, показатели качества электрической энергии и прочей деятельности</t>
  </si>
  <si>
    <t>круглосуточно</t>
  </si>
  <si>
    <t xml:space="preserve">2.1 Показатели качества услуг по передача электроэнергии в целом по сетевой организации в отчетном периоде, а также динамика по отношению к прошлому году </t>
  </si>
  <si>
    <t xml:space="preserve">2. Для упрощения процесса подачи заявки на технологическое присоединение через официальный сайт запущен модуль: "Окно подачи заявок";    </t>
  </si>
  <si>
    <t xml:space="preserve"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форме: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</si>
  <si>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3. Для подачи заявок выбраны удобные часы работы "Клиентского центра"; </t>
  </si>
  <si>
    <t xml:space="preserve">1. Проведены разъяснения с персоналом о необходимости тактичного общения с заявителями, желающими подать заявку на тех. присоединение, а также введена политика клиентоориентированности организации;              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</si>
  <si>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форме:</t>
  </si>
  <si>
    <t>1. На официальном сайте для оперативности реагирования в случае возникновения аварийной ситуации размещен телефон горячей линии;</t>
  </si>
  <si>
    <t>2. Обновлен автопарк машин бригад ОВБ;</t>
  </si>
  <si>
    <t>3. Проводятся планово-предупредительные ремонты электросетевого оборудования;</t>
  </si>
  <si>
    <t xml:space="preserve">4.1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 </t>
  </si>
  <si>
    <t>N                        (текущий год)</t>
  </si>
  <si>
    <t>№</t>
  </si>
  <si>
    <t>1.1</t>
  </si>
  <si>
    <t>1.2</t>
  </si>
  <si>
    <t>1.3</t>
  </si>
  <si>
    <t>1.4</t>
  </si>
  <si>
    <t>1.5</t>
  </si>
  <si>
    <t>1.6</t>
  </si>
  <si>
    <t>2</t>
  </si>
  <si>
    <t>2.1</t>
  </si>
  <si>
    <t>2.1.1</t>
  </si>
  <si>
    <t>2.1.2</t>
  </si>
  <si>
    <t>2.2</t>
  </si>
  <si>
    <t>2.3</t>
  </si>
  <si>
    <t>2.4</t>
  </si>
  <si>
    <t>2.5</t>
  </si>
  <si>
    <t>2.6</t>
  </si>
  <si>
    <t>Заявка на оказание услуг:</t>
  </si>
  <si>
    <t>3</t>
  </si>
  <si>
    <t>3.1</t>
  </si>
  <si>
    <t>3.2</t>
  </si>
  <si>
    <t>3.3</t>
  </si>
  <si>
    <t>3.4</t>
  </si>
  <si>
    <t xml:space="preserve"> -</t>
  </si>
  <si>
    <t>1</t>
  </si>
  <si>
    <t>4</t>
  </si>
  <si>
    <t>Центр обслуживания</t>
  </si>
  <si>
    <t>г. Омск, ул. 36-я Северная, 5</t>
  </si>
  <si>
    <t>4.3 Информация о заочном обслуживании потребителей по средством телефонной связи</t>
  </si>
  <si>
    <t>Перечень номеров телефонов, выделенных для обслуживания потребителей: Номер телефона по вопросам энергоснабжения: Номера телефонов центров обработки телефонных вызовов:</t>
  </si>
  <si>
    <t>Общее число телефонных вызовов от потребителей по выделенным номерам телефонов.</t>
  </si>
  <si>
    <t>мин</t>
  </si>
  <si>
    <t>4.4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 пунктом 4.1 Информации о качестве обслуживания потребителей услуг.</t>
  </si>
  <si>
    <t>* - Обращений потребителей не поступало</t>
  </si>
  <si>
    <t xml:space="preserve">4.5 Описание дополнительных услуг, оказываемых потребителю, в Единых стандартах качества обслуживания сетевыми организациями потребителей сетевых организаций
</t>
  </si>
  <si>
    <t xml:space="preserve">4.6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№ 5-ФЗ "О ветеранах" 
</t>
  </si>
  <si>
    <t>1. В случае обращения заявителя, относящегося к социально уязвимой категории граждан, он обслуживается без очереди.</t>
  </si>
  <si>
    <t xml:space="preserve">4.7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
</t>
  </si>
  <si>
    <t>1. На официальном сайте объявлен опрос заявителей на предмет удовлетворенностью работы "Центра обслуживания клиентов", опрос результатов не дал.</t>
  </si>
  <si>
    <t xml:space="preserve">4.8 Мероприятия, выполняемые сетевой организацией в целях повышения качества обслуживания потребителей.
</t>
  </si>
  <si>
    <t>1. Поощрение дружилюбия и коммуникабельности сотрудников ЦОК при работе с заявителем</t>
  </si>
  <si>
    <t>2. Возможность обрабатывать обращения потребителей в интерактивном режиме, что заметно сокращает время обработки заявки и направления ответа.</t>
  </si>
  <si>
    <t>4.9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</si>
  <si>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</si>
  <si>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</si>
  <si>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</si>
  <si>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</si>
  <si>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Очное</t>
  </si>
  <si>
    <t>Заочное, по телефону</t>
  </si>
  <si>
    <t>Заочное, через Интернет</t>
  </si>
  <si>
    <t>Письменное, по почте</t>
  </si>
  <si>
    <t>Обращения</t>
  </si>
  <si>
    <t>Оказание услуг по передаче э/э</t>
  </si>
  <si>
    <t>Осуществление тех. присоединения</t>
  </si>
  <si>
    <t>Коммерческий учет э/э</t>
  </si>
  <si>
    <t>Качество обслуживания потребителей</t>
  </si>
  <si>
    <t>Тех. обслуживание сетей</t>
  </si>
  <si>
    <t>Обращения, содержащие жалобу</t>
  </si>
  <si>
    <t>Качество оказания услуг по передаче э/э</t>
  </si>
  <si>
    <t>Качество э/э</t>
  </si>
  <si>
    <t>Качество услуг по тех. присоединению</t>
  </si>
  <si>
    <t>Обращения, содержащие заявку на оказание услуг</t>
  </si>
  <si>
    <t>По тех. присоединению</t>
  </si>
  <si>
    <t>Заключение договора оказания услуг по передаче э/э</t>
  </si>
  <si>
    <t>Организация коммерческого учета</t>
  </si>
  <si>
    <t>Факт получения потребителем ответа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</si>
  <si>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</si>
  <si>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</si>
  <si>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</si>
  <si>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Мероприятия по результатам обращений</t>
  </si>
  <si>
    <t>Выполненные мероприятия по результатам обращению</t>
  </si>
  <si>
    <t>Планируемые мероприятия по результатам обращению</t>
  </si>
  <si>
    <t>* - обращений не поступало</t>
  </si>
  <si>
    <t>9:00 - 16:40</t>
  </si>
  <si>
    <t>очный</t>
  </si>
  <si>
    <t>заочный</t>
  </si>
  <si>
    <t>1.1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</si>
  <si>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 xml:space="preserve">ЮЛ </t>
  </si>
  <si>
    <t>Тип потребителя</t>
  </si>
  <si>
    <t>5</t>
  </si>
  <si>
    <t>6</t>
  </si>
  <si>
    <t>ФЛ (население)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</si>
  <si>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форме.</t>
  </si>
  <si>
    <t>К-во точек поставки, всего</t>
  </si>
  <si>
    <t>К-во точек поставки, оборудованных ПУ</t>
  </si>
  <si>
    <t>ОДПУ в мжд</t>
  </si>
  <si>
    <t>безхоз</t>
  </si>
  <si>
    <t>АСКУЭ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</si>
  <si>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</si>
  <si>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ФЛ (население чжд)</t>
  </si>
  <si>
    <t>К-во ТП</t>
  </si>
  <si>
    <t>Протяженность ВЛ</t>
  </si>
  <si>
    <t>Протяженность КЛ</t>
  </si>
  <si>
    <t xml:space="preserve"> -0,4кВ</t>
  </si>
  <si>
    <t xml:space="preserve"> -6, 10кВ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</si>
  <si>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</si>
  <si>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Уровень физического износа</t>
  </si>
  <si>
    <t>Тип оборудования</t>
  </si>
  <si>
    <t>Показатель средней частоты прекращений передачи электрической энергии (                 )</t>
  </si>
  <si>
    <t>Показатель средней продолжительности прекращений передачи электрической энергии (                      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</si>
  <si>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             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</si>
  <si>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               )</t>
  </si>
  <si>
    <t>1. Общая информация о сетевой организации ООО "Гранат"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</si>
  <si>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</si>
  <si>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3. Информация о качестве услуг по технологическому присоединению к сетям сетевой организации ООО "Гранат"</t>
  </si>
  <si>
    <r>
      <t xml:space="preserve"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 </t>
    </r>
    <r>
      <rPr>
        <b/>
        <sz val="10"/>
        <color theme="1"/>
        <rFont val="Times New Roman"/>
        <family val="1"/>
        <charset val="204"/>
      </rPr>
      <t>Раскрытию не подлежит, ввиду отсутствия для ООО "Гранат" инвестиционной программы, утвержденной РЭК Омской области.</t>
    </r>
  </si>
  <si>
    <t>1. Стоимость услуг тех. присоединения к сетям ООО "Гранат" определяется согласно стандартизированным тарифным ставкам, установленными в редакции приказа РЭК Омской области №195/45 от 18.08.2015г. Расчет окончательной стоимости определяется по формулам, указанным в Приложении №4 настоящего приказа</t>
  </si>
  <si>
    <t>98-53-87; granat2112@mail.ru</t>
  </si>
  <si>
    <t>http://tso-granat.ru/centr-obsluzhivaniya-klientov/okno-podachi-zayavok-na-texnologicheskoe-prisoedinenie/</t>
  </si>
  <si>
    <t>98-53-87</t>
  </si>
  <si>
    <t>4. Качество обслуживания потребителей ООО "Гранат"</t>
  </si>
  <si>
    <t>ТП/РП</t>
  </si>
  <si>
    <t>61%</t>
  </si>
  <si>
    <t>КЛ/ВЛ</t>
  </si>
  <si>
    <t>ЮЛ, ИП</t>
  </si>
  <si>
    <t>ЮЛ, ИП, ФЛ-льготники (СНТ, ГСК, церкви, объединения гаражей, сараев и т.д.)</t>
  </si>
  <si>
    <t>300 - городская местность</t>
  </si>
  <si>
    <t>500 - сельская местность</t>
  </si>
  <si>
    <t>Выполненный расчет является ориентировочным, итоговый расчет будет произведен после подачи Вами заявки на ТП при подготовке договора об осуществлении технологического присоединения.</t>
  </si>
  <si>
    <t>40</t>
  </si>
  <si>
    <t>ООО "Гранат"</t>
  </si>
  <si>
    <t>2016 год (факт)</t>
  </si>
  <si>
    <t>9,6 % рост относительно факта 2015 года</t>
  </si>
  <si>
    <t>16 % рост относительно факта 2015 года</t>
  </si>
  <si>
    <t>Исх. №125</t>
  </si>
  <si>
    <t>08.12.2016</t>
  </si>
  <si>
    <t>не зафиксировано</t>
  </si>
  <si>
    <t xml:space="preserve"> +</t>
  </si>
  <si>
    <t>0,745</t>
  </si>
  <si>
    <t>3,86</t>
  </si>
  <si>
    <t>63%</t>
  </si>
  <si>
    <t>2. Информация о качестве услуг по передаче электрической энергии по сетям сетевой организации ООО "Гранат" на 2016 год (факт)</t>
  </si>
  <si>
    <t>57 % рост относительно факта 2015 года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</si>
</sst>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justify"/>
    </xf>
    <xf numFmtId="0" fontId="3" fillId="0" borderId="0" xfId="0" applyFont="1"/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16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180" wrapText="1"/>
    </xf>
    <xf numFmtId="2" fontId="2" fillId="0" borderId="0" xfId="0" applyNumberFormat="1" applyFont="1" applyAlignment="1">
      <alignment horizontal="center" vertical="center" textRotation="180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/>
    <xf numFmtId="49" fontId="1" fillId="0" borderId="4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49" fontId="7" fillId="0" borderId="0" xfId="0" applyNumberFormat="1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vertical="center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49" fontId="1" fillId="0" borderId="4" xfId="0" applyNumberFormat="1" applyFont="1" applyFill="1" applyBorder="1"/>
    <xf numFmtId="1" fontId="1" fillId="0" borderId="9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 vertical="center" wrapText="1"/>
    </xf>
    <xf numFmtId="9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9" fontId="1" fillId="0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justify" vertical="top" wrapText="1"/>
    </xf>
    <xf numFmtId="0" fontId="2" fillId="0" borderId="0" xfId="0" applyFont="1" applyFill="1"/>
    <xf numFmtId="0" fontId="2" fillId="0" borderId="0" xfId="0" applyFont="1" applyFill="1" applyAlignment="1">
      <alignment horizontal="justify"/>
    </xf>
    <xf numFmtId="0" fontId="2" fillId="0" borderId="1" xfId="0" applyFont="1" applyFill="1" applyBorder="1" applyAlignment="1">
      <alignment vertical="top" wrapText="1"/>
    </xf>
    <xf numFmtId="0" fontId="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wrapText="1"/>
    </xf>
    <xf numFmtId="0" fontId="1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3" fontId="2" fillId="0" borderId="2" xfId="0" applyNumberFormat="1" applyFont="1" applyBorder="1" applyAlignment="1">
      <alignment horizontal="center" vertical="center" wrapText="1"/>
    </xf>
    <xf numFmtId="0" fontId="0" fillId="0" borderId="17" xfId="0" applyBorder="1"/>
    <xf numFmtId="3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" fontId="2" fillId="0" borderId="0" xfId="0" applyNumberFormat="1" applyFont="1" applyAlignment="1">
      <alignment horizontal="left" vertical="center" wrapText="1"/>
    </xf>
    <xf numFmtId="16" fontId="4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1409700</xdr:colOff>
      <xdr:row>6</xdr:row>
      <xdr:rowOff>123825</xdr:rowOff>
    </xdr:from>
    <xdr:to>
      <xdr:col>1</xdr:col>
      <xdr:colOff>1819275</xdr:colOff>
      <xdr:row>7</xdr:row>
      <xdr:rowOff>28575</xdr:rowOff>
    </xdr:to>
    <xdr:pic>
      <xdr:nvPicPr>
        <xdr:cNvPr id="1032" name="Picture 8">
          <a:extLst>
            <a:ext uri="{FF2B5EF4-FFF2-40B4-BE49-F238E27FC236}">
              <a16:creationId xmlns:a16="http://schemas.microsoft.com/office/drawing/2014/main" xmlns="" id="{00000000-0008-0000-01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7375" y="1581150"/>
          <a:ext cx="409575" cy="2286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1343025</xdr:colOff>
      <xdr:row>12</xdr:row>
      <xdr:rowOff>142875</xdr:rowOff>
    </xdr:from>
    <xdr:to>
      <xdr:col>1</xdr:col>
      <xdr:colOff>1724025</xdr:colOff>
      <xdr:row>13</xdr:row>
      <xdr:rowOff>47625</xdr:rowOff>
    </xdr:to>
    <xdr:pic>
      <xdr:nvPicPr>
        <xdr:cNvPr id="1031" name="Picture 7">
          <a:extLst>
            <a:ext uri="{FF2B5EF4-FFF2-40B4-BE49-F238E27FC236}">
              <a16:creationId xmlns:a16="http://schemas.microsoft.com/office/drawing/2014/main" xmlns="" id="{00000000-0008-0000-01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0700" y="2924175"/>
          <a:ext cx="381000" cy="2286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1562100</xdr:colOff>
      <xdr:row>18</xdr:row>
      <xdr:rowOff>609599</xdr:rowOff>
    </xdr:from>
    <xdr:to>
      <xdr:col>1</xdr:col>
      <xdr:colOff>2362200</xdr:colOff>
      <xdr:row>19</xdr:row>
      <xdr:rowOff>57149</xdr:rowOff>
    </xdr:to>
    <xdr:pic>
      <xdr:nvPicPr>
        <xdr:cNvPr id="1030" name="Picture 6">
          <a:extLst>
            <a:ext uri="{FF2B5EF4-FFF2-40B4-BE49-F238E27FC236}">
              <a16:creationId xmlns:a16="http://schemas.microsoft.com/office/drawing/2014/main" xmlns="" id="{00000000-0008-0000-01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09775" y="4714874"/>
          <a:ext cx="800100" cy="2571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1685925</xdr:colOff>
      <xdr:row>24</xdr:row>
      <xdr:rowOff>600075</xdr:rowOff>
    </xdr:from>
    <xdr:to>
      <xdr:col>1</xdr:col>
      <xdr:colOff>2286000</xdr:colOff>
      <xdr:row>25</xdr:row>
      <xdr:rowOff>28575</xdr:rowOff>
    </xdr:to>
    <xdr:pic>
      <xdr:nvPicPr>
        <xdr:cNvPr id="1029" name="Picture 5">
          <a:extLst>
            <a:ext uri="{FF2B5EF4-FFF2-40B4-BE49-F238E27FC236}">
              <a16:creationId xmlns:a16="http://schemas.microsoft.com/office/drawing/2014/main" xmlns="" id="{00000000-0008-0000-01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33600" y="6515100"/>
          <a:ext cx="600075" cy="2381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76200</xdr:colOff>
      <xdr:row>35</xdr:row>
      <xdr:rowOff>1257300</xdr:rowOff>
    </xdr:from>
    <xdr:to>
      <xdr:col>2</xdr:col>
      <xdr:colOff>485775</xdr:colOff>
      <xdr:row>35</xdr:row>
      <xdr:rowOff>1485900</xdr:rowOff>
    </xdr:to>
    <xdr:pic>
      <xdr:nvPicPr>
        <xdr:cNvPr id="6" name="Picture 12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14800" y="11658600"/>
          <a:ext cx="409575" cy="2286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35</xdr:row>
      <xdr:rowOff>1285875</xdr:rowOff>
    </xdr:from>
    <xdr:to>
      <xdr:col>6</xdr:col>
      <xdr:colOff>381000</xdr:colOff>
      <xdr:row>35</xdr:row>
      <xdr:rowOff>1514475</xdr:rowOff>
    </xdr:to>
    <xdr:pic>
      <xdr:nvPicPr>
        <xdr:cNvPr id="7" name="Picture 11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296150" y="11687175"/>
          <a:ext cx="381000" cy="22860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28575</xdr:colOff>
      <xdr:row>35</xdr:row>
      <xdr:rowOff>1371600</xdr:rowOff>
    </xdr:from>
    <xdr:to>
      <xdr:col>11</xdr:col>
      <xdr:colOff>19050</xdr:colOff>
      <xdr:row>35</xdr:row>
      <xdr:rowOff>1609725</xdr:rowOff>
    </xdr:to>
    <xdr:pic>
      <xdr:nvPicPr>
        <xdr:cNvPr id="8" name="Picture 10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763125" y="11772900"/>
          <a:ext cx="600075" cy="238125"/>
        </a:xfrm>
        <a:prstGeom prst="rect">
          <a:avLst/>
        </a:prstGeom>
        <a:noFill/>
      </xdr:spPr>
    </xdr:pic>
    <xdr:clientData/>
  </xdr:twoCellAnchor>
  <xdr:twoCellAnchor>
    <xdr:from>
      <xdr:col>14</xdr:col>
      <xdr:colOff>9525</xdr:colOff>
      <xdr:row>35</xdr:row>
      <xdr:rowOff>1400175</xdr:rowOff>
    </xdr:from>
    <xdr:to>
      <xdr:col>15</xdr:col>
      <xdr:colOff>0</xdr:colOff>
      <xdr:row>35</xdr:row>
      <xdr:rowOff>1638300</xdr:rowOff>
    </xdr:to>
    <xdr:pic>
      <xdr:nvPicPr>
        <xdr:cNvPr id="9" name="Picture 9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182475" y="11801475"/>
          <a:ext cx="600075" cy="2381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1409700</xdr:colOff>
      <xdr:row>6</xdr:row>
      <xdr:rowOff>123825</xdr:rowOff>
    </xdr:from>
    <xdr:to>
      <xdr:col>1</xdr:col>
      <xdr:colOff>1819275</xdr:colOff>
      <xdr:row>7</xdr:row>
      <xdr:rowOff>28575</xdr:rowOff>
    </xdr:to>
    <xdr:pic>
      <xdr:nvPicPr>
        <xdr:cNvPr id="10" name="Picture 8">
          <a:extLst>
            <a:ext uri="{FF2B5EF4-FFF2-40B4-BE49-F238E27FC236}">
              <a16:creationId xmlns:a16="http://schemas.microsoft.com/office/drawing/2014/main" xmlns="" id="{109060C3-3616-49F2-8FF8-A96063810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7375" y="1543050"/>
          <a:ext cx="409575" cy="2286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1343025</xdr:colOff>
      <xdr:row>12</xdr:row>
      <xdr:rowOff>142875</xdr:rowOff>
    </xdr:from>
    <xdr:to>
      <xdr:col>1</xdr:col>
      <xdr:colOff>1724025</xdr:colOff>
      <xdr:row>13</xdr:row>
      <xdr:rowOff>47625</xdr:rowOff>
    </xdr:to>
    <xdr:pic>
      <xdr:nvPicPr>
        <xdr:cNvPr id="11" name="Picture 7">
          <a:extLst>
            <a:ext uri="{FF2B5EF4-FFF2-40B4-BE49-F238E27FC236}">
              <a16:creationId xmlns:a16="http://schemas.microsoft.com/office/drawing/2014/main" xmlns="" id="{EBBBBB41-F918-4C73-A1FF-A46B5B35B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0700" y="2838450"/>
          <a:ext cx="381000" cy="2286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1562100</xdr:colOff>
      <xdr:row>18</xdr:row>
      <xdr:rowOff>609599</xdr:rowOff>
    </xdr:from>
    <xdr:to>
      <xdr:col>1</xdr:col>
      <xdr:colOff>2362200</xdr:colOff>
      <xdr:row>19</xdr:row>
      <xdr:rowOff>57149</xdr:rowOff>
    </xdr:to>
    <xdr:pic>
      <xdr:nvPicPr>
        <xdr:cNvPr id="12" name="Picture 6">
          <a:extLst>
            <a:ext uri="{FF2B5EF4-FFF2-40B4-BE49-F238E27FC236}">
              <a16:creationId xmlns:a16="http://schemas.microsoft.com/office/drawing/2014/main" xmlns="" id="{E6E5173C-835C-407F-80FA-129E20893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09775" y="4581524"/>
          <a:ext cx="800100" cy="2571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1685925</xdr:colOff>
      <xdr:row>24</xdr:row>
      <xdr:rowOff>600075</xdr:rowOff>
    </xdr:from>
    <xdr:to>
      <xdr:col>1</xdr:col>
      <xdr:colOff>2286000</xdr:colOff>
      <xdr:row>25</xdr:row>
      <xdr:rowOff>28575</xdr:rowOff>
    </xdr:to>
    <xdr:pic>
      <xdr:nvPicPr>
        <xdr:cNvPr id="13" name="Picture 5">
          <a:extLst>
            <a:ext uri="{FF2B5EF4-FFF2-40B4-BE49-F238E27FC236}">
              <a16:creationId xmlns:a16="http://schemas.microsoft.com/office/drawing/2014/main" xmlns="" id="{B4FDF90A-628E-4C6E-8883-CA7A0DB90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33600" y="6334125"/>
          <a:ext cx="600075" cy="2381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76200</xdr:colOff>
      <xdr:row>35</xdr:row>
      <xdr:rowOff>1257300</xdr:rowOff>
    </xdr:from>
    <xdr:to>
      <xdr:col>2</xdr:col>
      <xdr:colOff>485775</xdr:colOff>
      <xdr:row>35</xdr:row>
      <xdr:rowOff>1485900</xdr:rowOff>
    </xdr:to>
    <xdr:pic>
      <xdr:nvPicPr>
        <xdr:cNvPr id="14" name="Picture 12">
          <a:extLst>
            <a:ext uri="{FF2B5EF4-FFF2-40B4-BE49-F238E27FC236}">
              <a16:creationId xmlns:a16="http://schemas.microsoft.com/office/drawing/2014/main" xmlns="" id="{AE248C5B-C56D-4BDE-8B17-003E93B63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14800" y="10429875"/>
          <a:ext cx="409575" cy="2286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35</xdr:row>
      <xdr:rowOff>1285875</xdr:rowOff>
    </xdr:from>
    <xdr:to>
      <xdr:col>6</xdr:col>
      <xdr:colOff>381000</xdr:colOff>
      <xdr:row>35</xdr:row>
      <xdr:rowOff>1514475</xdr:rowOff>
    </xdr:to>
    <xdr:pic>
      <xdr:nvPicPr>
        <xdr:cNvPr id="15" name="Picture 11">
          <a:extLst>
            <a:ext uri="{FF2B5EF4-FFF2-40B4-BE49-F238E27FC236}">
              <a16:creationId xmlns:a16="http://schemas.microsoft.com/office/drawing/2014/main" xmlns="" id="{87A6C7C2-C60A-4D36-9656-651F7D2DD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296150" y="10458450"/>
          <a:ext cx="381000" cy="22860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28575</xdr:colOff>
      <xdr:row>35</xdr:row>
      <xdr:rowOff>1371600</xdr:rowOff>
    </xdr:from>
    <xdr:to>
      <xdr:col>11</xdr:col>
      <xdr:colOff>19050</xdr:colOff>
      <xdr:row>35</xdr:row>
      <xdr:rowOff>1609725</xdr:rowOff>
    </xdr:to>
    <xdr:pic>
      <xdr:nvPicPr>
        <xdr:cNvPr id="16" name="Picture 10">
          <a:extLst>
            <a:ext uri="{FF2B5EF4-FFF2-40B4-BE49-F238E27FC236}">
              <a16:creationId xmlns:a16="http://schemas.microsoft.com/office/drawing/2014/main" xmlns="" id="{E87EBF0E-D62F-4C30-A75A-15F74BDFF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763125" y="10544175"/>
          <a:ext cx="600075" cy="238125"/>
        </a:xfrm>
        <a:prstGeom prst="rect">
          <a:avLst/>
        </a:prstGeom>
        <a:noFill/>
      </xdr:spPr>
    </xdr:pic>
    <xdr:clientData/>
  </xdr:twoCellAnchor>
  <xdr:twoCellAnchor>
    <xdr:from>
      <xdr:col>14</xdr:col>
      <xdr:colOff>9525</xdr:colOff>
      <xdr:row>35</xdr:row>
      <xdr:rowOff>1400175</xdr:rowOff>
    </xdr:from>
    <xdr:to>
      <xdr:col>15</xdr:col>
      <xdr:colOff>0</xdr:colOff>
      <xdr:row>35</xdr:row>
      <xdr:rowOff>1638300</xdr:rowOff>
    </xdr:to>
    <xdr:pic>
      <xdr:nvPicPr>
        <xdr:cNvPr id="17" name="Picture 9">
          <a:extLst>
            <a:ext uri="{FF2B5EF4-FFF2-40B4-BE49-F238E27FC236}">
              <a16:creationId xmlns:a16="http://schemas.microsoft.com/office/drawing/2014/main" xmlns="" id="{EFFE2B61-7211-432E-A359-1C1C758D4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182475" y="10572750"/>
          <a:ext cx="600075" cy="238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="85" zoomScaleSheetLayoutView="85" workbookViewId="0">
      <selection activeCell="J23" sqref="J23"/>
    </sheetView>
  </sheetViews>
  <sheetFormatPr defaultRowHeight="15"/>
  <cols>
    <col min="1" max="1" width="19" style="54" customWidth="1"/>
    <col min="2" max="2" width="15.42578125" style="54" customWidth="1"/>
    <col min="3" max="3" width="12.140625" style="54" customWidth="1"/>
    <col min="4" max="4" width="13.85546875" style="54" customWidth="1"/>
    <col min="5" max="5" width="13.28515625" style="34" customWidth="1"/>
    <col min="6" max="6" width="13.85546875" style="34" customWidth="1"/>
    <col min="7" max="7" width="13.140625" style="34" customWidth="1"/>
    <col min="8" max="8" width="11.7109375" style="34" customWidth="1"/>
    <col min="9" max="9" width="12.5703125" style="34" customWidth="1"/>
    <col min="10" max="10" width="12.85546875" style="34" customWidth="1"/>
    <col min="11" max="11" width="11.5703125" style="34" customWidth="1"/>
    <col min="12" max="12" width="12.5703125" style="34" customWidth="1"/>
    <col min="13" max="13" width="14.42578125" style="34" customWidth="1"/>
    <col min="14" max="14" width="11.5703125" style="34" customWidth="1"/>
    <col min="15" max="15" width="12.5703125" style="34" customWidth="1"/>
    <col min="16" max="16384" width="9.140625" style="34"/>
  </cols>
  <sheetData>
    <row r="1" spans="1:24" ht="15.75">
      <c r="A1" s="86" t="s">
        <v>233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3" spans="1:24" s="36" customFormat="1" ht="45.75" customHeight="1" thickBot="1">
      <c r="A3" s="85" t="s">
        <v>207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35"/>
      <c r="P3" s="35"/>
      <c r="Q3" s="35"/>
      <c r="R3" s="35"/>
      <c r="S3" s="35"/>
      <c r="T3" s="35"/>
      <c r="U3" s="35"/>
      <c r="V3" s="35"/>
      <c r="W3" s="35"/>
      <c r="X3" s="35"/>
    </row>
    <row r="4" spans="1:24">
      <c r="A4" s="90" t="s">
        <v>209</v>
      </c>
      <c r="B4" s="91" t="s">
        <v>50</v>
      </c>
      <c r="C4" s="87" t="s">
        <v>252</v>
      </c>
      <c r="D4" s="88"/>
      <c r="E4" s="88"/>
      <c r="F4" s="89"/>
    </row>
    <row r="5" spans="1:24" s="41" customFormat="1">
      <c r="A5" s="90"/>
      <c r="B5" s="91"/>
      <c r="C5" s="37" t="s">
        <v>19</v>
      </c>
      <c r="D5" s="38" t="s">
        <v>20</v>
      </c>
      <c r="E5" s="39" t="s">
        <v>21</v>
      </c>
      <c r="F5" s="40" t="s">
        <v>22</v>
      </c>
    </row>
    <row r="6" spans="1:24" s="41" customFormat="1">
      <c r="A6" s="42" t="s">
        <v>155</v>
      </c>
      <c r="B6" s="43" t="s">
        <v>139</v>
      </c>
      <c r="C6" s="44" t="s">
        <v>149</v>
      </c>
      <c r="D6" s="42" t="s">
        <v>156</v>
      </c>
      <c r="E6" s="42" t="s">
        <v>210</v>
      </c>
      <c r="F6" s="45" t="s">
        <v>211</v>
      </c>
    </row>
    <row r="7" spans="1:24">
      <c r="A7" s="46" t="s">
        <v>208</v>
      </c>
      <c r="B7" s="47" t="s">
        <v>52</v>
      </c>
      <c r="C7" s="48" t="s">
        <v>154</v>
      </c>
      <c r="D7" s="49" t="s">
        <v>154</v>
      </c>
      <c r="E7" s="39">
        <v>39</v>
      </c>
      <c r="F7" s="40">
        <v>4</v>
      </c>
    </row>
    <row r="8" spans="1:24" ht="15.75" thickBot="1">
      <c r="A8" s="46" t="s">
        <v>212</v>
      </c>
      <c r="B8" s="47" t="s">
        <v>52</v>
      </c>
      <c r="C8" s="50" t="s">
        <v>154</v>
      </c>
      <c r="D8" s="51" t="s">
        <v>154</v>
      </c>
      <c r="E8" s="51" t="s">
        <v>155</v>
      </c>
      <c r="F8" s="52">
        <f>1+40</f>
        <v>41</v>
      </c>
    </row>
    <row r="9" spans="1:24">
      <c r="A9" s="53" t="s">
        <v>253</v>
      </c>
    </row>
    <row r="11" spans="1:24" s="55" customFormat="1" ht="60" customHeight="1" thickBot="1">
      <c r="A11" s="85" t="s">
        <v>213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</row>
    <row r="12" spans="1:24" s="59" customFormat="1" ht="60">
      <c r="A12" s="92" t="s">
        <v>209</v>
      </c>
      <c r="B12" s="56" t="s">
        <v>214</v>
      </c>
      <c r="C12" s="57" t="s">
        <v>215</v>
      </c>
      <c r="D12" s="58"/>
      <c r="E12" s="58"/>
      <c r="F12" s="58"/>
      <c r="G12" s="58"/>
      <c r="H12" s="58"/>
      <c r="I12" s="58"/>
      <c r="J12" s="58"/>
    </row>
    <row r="13" spans="1:24" s="59" customFormat="1" ht="15" customHeight="1">
      <c r="A13" s="93"/>
      <c r="B13" s="94" t="s">
        <v>252</v>
      </c>
      <c r="C13" s="95"/>
      <c r="D13" s="58"/>
      <c r="E13" s="58"/>
      <c r="F13" s="58"/>
      <c r="G13" s="58"/>
      <c r="H13" s="58"/>
      <c r="I13" s="58"/>
      <c r="J13" s="58"/>
    </row>
    <row r="14" spans="1:24" s="59" customFormat="1">
      <c r="A14" s="43" t="s">
        <v>155</v>
      </c>
      <c r="B14" s="44" t="s">
        <v>139</v>
      </c>
      <c r="C14" s="45" t="s">
        <v>149</v>
      </c>
      <c r="D14" s="58"/>
      <c r="E14" s="58"/>
      <c r="F14" s="58"/>
      <c r="G14" s="58"/>
      <c r="H14" s="58"/>
      <c r="I14" s="58"/>
      <c r="J14" s="58"/>
    </row>
    <row r="15" spans="1:24">
      <c r="A15" s="60" t="s">
        <v>208</v>
      </c>
      <c r="B15" s="61">
        <v>77</v>
      </c>
      <c r="C15" s="62">
        <v>77</v>
      </c>
      <c r="D15" s="34"/>
    </row>
    <row r="16" spans="1:24">
      <c r="A16" s="60" t="s">
        <v>220</v>
      </c>
      <c r="B16" s="61" t="s">
        <v>250</v>
      </c>
      <c r="C16" s="62" t="s">
        <v>250</v>
      </c>
      <c r="D16" s="34"/>
    </row>
    <row r="17" spans="1:14">
      <c r="A17" s="60" t="s">
        <v>216</v>
      </c>
      <c r="B17" s="61">
        <v>6</v>
      </c>
      <c r="C17" s="62">
        <v>6</v>
      </c>
      <c r="D17" s="34"/>
    </row>
    <row r="18" spans="1:14">
      <c r="A18" s="60" t="s">
        <v>217</v>
      </c>
      <c r="B18" s="48" t="s">
        <v>154</v>
      </c>
      <c r="C18" s="63" t="s">
        <v>154</v>
      </c>
      <c r="D18" s="34"/>
    </row>
    <row r="19" spans="1:14" ht="15.75" thickBot="1">
      <c r="A19" s="60" t="s">
        <v>218</v>
      </c>
      <c r="B19" s="50" t="s">
        <v>154</v>
      </c>
      <c r="C19" s="64" t="s">
        <v>154</v>
      </c>
      <c r="D19" s="34"/>
    </row>
    <row r="20" spans="1:14">
      <c r="A20" s="53" t="s">
        <v>254</v>
      </c>
      <c r="B20" s="65"/>
      <c r="C20" s="65"/>
      <c r="D20" s="34"/>
    </row>
    <row r="22" spans="1:14" ht="39.75" customHeight="1" thickBot="1">
      <c r="A22" s="85" t="s">
        <v>219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</row>
    <row r="23" spans="1:14" s="58" customFormat="1" ht="15" customHeight="1">
      <c r="A23" s="102" t="s">
        <v>221</v>
      </c>
      <c r="B23" s="97" t="s">
        <v>222</v>
      </c>
      <c r="C23" s="97"/>
      <c r="D23" s="97" t="s">
        <v>223</v>
      </c>
      <c r="E23" s="98"/>
    </row>
    <row r="24" spans="1:14">
      <c r="A24" s="103"/>
      <c r="B24" s="49" t="s">
        <v>225</v>
      </c>
      <c r="C24" s="49" t="s">
        <v>224</v>
      </c>
      <c r="D24" s="49" t="s">
        <v>225</v>
      </c>
      <c r="E24" s="63" t="s">
        <v>224</v>
      </c>
    </row>
    <row r="25" spans="1:14">
      <c r="A25" s="99" t="s">
        <v>252</v>
      </c>
      <c r="B25" s="100"/>
      <c r="C25" s="100"/>
      <c r="D25" s="100"/>
      <c r="E25" s="101"/>
    </row>
    <row r="26" spans="1:14" s="41" customFormat="1" ht="15.75" thickBot="1">
      <c r="A26" s="66">
        <v>14</v>
      </c>
      <c r="B26" s="51" t="s">
        <v>259</v>
      </c>
      <c r="C26" s="51" t="s">
        <v>260</v>
      </c>
      <c r="D26" s="67">
        <v>16.968</v>
      </c>
      <c r="E26" s="68">
        <v>5.1999999999999998E-2</v>
      </c>
    </row>
    <row r="27" spans="1:14" s="41" customFormat="1">
      <c r="A27" s="53" t="s">
        <v>263</v>
      </c>
      <c r="B27" s="65"/>
      <c r="C27" s="65"/>
      <c r="D27" s="138"/>
      <c r="E27" s="137"/>
    </row>
    <row r="29" spans="1:14" ht="35.25" customHeight="1" thickBot="1">
      <c r="A29" s="85" t="s">
        <v>226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</row>
    <row r="30" spans="1:14" s="59" customFormat="1" ht="15" customHeight="1">
      <c r="A30" s="91" t="s">
        <v>228</v>
      </c>
      <c r="B30" s="96" t="s">
        <v>227</v>
      </c>
      <c r="C30" s="97"/>
      <c r="D30" s="97"/>
      <c r="E30" s="98"/>
    </row>
    <row r="31" spans="1:14" s="41" customFormat="1">
      <c r="A31" s="91"/>
      <c r="B31" s="48" t="s">
        <v>19</v>
      </c>
      <c r="C31" s="49" t="s">
        <v>20</v>
      </c>
      <c r="D31" s="49" t="s">
        <v>21</v>
      </c>
      <c r="E31" s="69" t="s">
        <v>22</v>
      </c>
    </row>
    <row r="32" spans="1:14">
      <c r="A32" s="91"/>
      <c r="B32" s="99" t="s">
        <v>252</v>
      </c>
      <c r="C32" s="100"/>
      <c r="D32" s="100"/>
      <c r="E32" s="101"/>
    </row>
    <row r="33" spans="1:5">
      <c r="A33" s="70" t="s">
        <v>242</v>
      </c>
      <c r="B33" s="48"/>
      <c r="C33" s="49"/>
      <c r="D33" s="49" t="s">
        <v>243</v>
      </c>
      <c r="E33" s="63"/>
    </row>
    <row r="34" spans="1:5" ht="15.75" thickBot="1">
      <c r="A34" s="47" t="s">
        <v>244</v>
      </c>
      <c r="B34" s="71"/>
      <c r="C34" s="72"/>
      <c r="D34" s="51" t="s">
        <v>261</v>
      </c>
      <c r="E34" s="73">
        <v>0.37</v>
      </c>
    </row>
  </sheetData>
  <mergeCells count="17">
    <mergeCell ref="A29:N29"/>
    <mergeCell ref="B30:E30"/>
    <mergeCell ref="B32:E32"/>
    <mergeCell ref="A30:A32"/>
    <mergeCell ref="A23:A24"/>
    <mergeCell ref="A25:E25"/>
    <mergeCell ref="B23:C23"/>
    <mergeCell ref="D23:E23"/>
    <mergeCell ref="A22:N22"/>
    <mergeCell ref="A1:R1"/>
    <mergeCell ref="C4:F4"/>
    <mergeCell ref="A4:A5"/>
    <mergeCell ref="B4:B5"/>
    <mergeCell ref="A3:N3"/>
    <mergeCell ref="A11:N11"/>
    <mergeCell ref="A12:A13"/>
    <mergeCell ref="B13:C13"/>
  </mergeCells>
  <pageMargins left="0.7" right="0.7" top="0.75" bottom="0.75" header="0.3" footer="0.3"/>
  <pageSetup paperSize="9" scale="69" orientation="landscape" r:id="rId1"/>
  <colBreaks count="1" manualBreakCount="1">
    <brk id="14" max="1048575" man="1"/>
  </colBreaks>
  <ignoredErrors>
    <ignoredError sqref="A6:B6 A14 B33:D33 C6:F6 E8 B14:C14 B16:C16 C34 B26:E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view="pageBreakPreview" zoomScaleSheetLayoutView="100" workbookViewId="0">
      <selection activeCell="B19" sqref="B19:B20"/>
    </sheetView>
  </sheetViews>
  <sheetFormatPr defaultRowHeight="15"/>
  <cols>
    <col min="1" max="1" width="6.7109375" style="34" customWidth="1"/>
    <col min="2" max="2" width="53.85546875" style="34" customWidth="1"/>
    <col min="3" max="3" width="12.28515625" style="34" customWidth="1"/>
    <col min="4" max="4" width="13.28515625" style="34" customWidth="1"/>
    <col min="5" max="5" width="14.140625" style="34" customWidth="1"/>
    <col min="6" max="18" width="9.140625" style="34"/>
    <col min="19" max="19" width="32.7109375" style="34" customWidth="1"/>
    <col min="20" max="20" width="34.42578125" style="34" customWidth="1"/>
    <col min="21" max="16384" width="9.140625" style="34"/>
  </cols>
  <sheetData>
    <row r="1" spans="1:13" ht="15.75" customHeight="1">
      <c r="A1" s="86" t="s">
        <v>262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s="74" customFormat="1" ht="12.75" customHeight="1">
      <c r="A2" s="109" t="s">
        <v>121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4" spans="1:13" ht="15" customHeight="1">
      <c r="A4" s="106" t="s">
        <v>2</v>
      </c>
      <c r="B4" s="106" t="s">
        <v>0</v>
      </c>
      <c r="C4" s="106" t="s">
        <v>1</v>
      </c>
      <c r="D4" s="106"/>
      <c r="E4" s="106"/>
    </row>
    <row r="5" spans="1:13" ht="38.25">
      <c r="A5" s="106"/>
      <c r="B5" s="106"/>
      <c r="C5" s="75" t="s">
        <v>3</v>
      </c>
      <c r="D5" s="75" t="s">
        <v>4</v>
      </c>
      <c r="E5" s="75" t="s">
        <v>5</v>
      </c>
    </row>
    <row r="6" spans="1:13">
      <c r="A6" s="75">
        <v>1</v>
      </c>
      <c r="B6" s="75">
        <v>2</v>
      </c>
      <c r="C6" s="76">
        <v>3</v>
      </c>
      <c r="D6" s="76">
        <v>4</v>
      </c>
      <c r="E6" s="76">
        <v>5</v>
      </c>
    </row>
    <row r="7" spans="1:13" ht="25.5" customHeight="1">
      <c r="A7" s="106">
        <v>1</v>
      </c>
      <c r="B7" s="112" t="s">
        <v>230</v>
      </c>
      <c r="C7" s="110">
        <v>0.1047</v>
      </c>
      <c r="D7" s="110">
        <v>0.14149999999999999</v>
      </c>
      <c r="E7" s="111">
        <f>(C7-D7)*100/C7</f>
        <v>-35.14804202483284</v>
      </c>
    </row>
    <row r="8" spans="1:13">
      <c r="A8" s="106"/>
      <c r="B8" s="112"/>
      <c r="C8" s="110"/>
      <c r="D8" s="110"/>
      <c r="E8" s="111"/>
    </row>
    <row r="9" spans="1:13">
      <c r="A9" s="78" t="s">
        <v>99</v>
      </c>
      <c r="B9" s="79" t="s">
        <v>6</v>
      </c>
      <c r="C9" s="77" t="s">
        <v>118</v>
      </c>
      <c r="D9" s="77" t="s">
        <v>118</v>
      </c>
      <c r="E9" s="77" t="s">
        <v>118</v>
      </c>
    </row>
    <row r="10" spans="1:13">
      <c r="A10" s="78" t="s">
        <v>100</v>
      </c>
      <c r="B10" s="79" t="s">
        <v>7</v>
      </c>
      <c r="C10" s="77" t="s">
        <v>118</v>
      </c>
      <c r="D10" s="77" t="s">
        <v>118</v>
      </c>
      <c r="E10" s="77" t="s">
        <v>118</v>
      </c>
    </row>
    <row r="11" spans="1:13">
      <c r="A11" s="78" t="s">
        <v>101</v>
      </c>
      <c r="B11" s="79" t="s">
        <v>8</v>
      </c>
      <c r="C11" s="77">
        <f>C7</f>
        <v>0.1047</v>
      </c>
      <c r="D11" s="77">
        <f>D7</f>
        <v>0.14149999999999999</v>
      </c>
      <c r="E11" s="80">
        <f>E7</f>
        <v>-35.14804202483284</v>
      </c>
    </row>
    <row r="12" spans="1:13">
      <c r="A12" s="78" t="s">
        <v>102</v>
      </c>
      <c r="B12" s="79" t="s">
        <v>9</v>
      </c>
      <c r="C12" s="77">
        <f>C7</f>
        <v>0.1047</v>
      </c>
      <c r="D12" s="77">
        <f>D7</f>
        <v>0.14149999999999999</v>
      </c>
      <c r="E12" s="80">
        <f>E7</f>
        <v>-35.14804202483284</v>
      </c>
    </row>
    <row r="13" spans="1:13" ht="25.5" customHeight="1">
      <c r="A13" s="106">
        <v>2</v>
      </c>
      <c r="B13" s="112" t="s">
        <v>229</v>
      </c>
      <c r="C13" s="110">
        <v>0.68</v>
      </c>
      <c r="D13" s="110">
        <v>1.6353</v>
      </c>
      <c r="E13" s="111">
        <f>(C13-D13)*100/C13</f>
        <v>-140.48529411764702</v>
      </c>
    </row>
    <row r="14" spans="1:13">
      <c r="A14" s="106"/>
      <c r="B14" s="112"/>
      <c r="C14" s="110"/>
      <c r="D14" s="110"/>
      <c r="E14" s="111"/>
    </row>
    <row r="15" spans="1:13">
      <c r="A15" s="78" t="s">
        <v>103</v>
      </c>
      <c r="B15" s="79" t="s">
        <v>6</v>
      </c>
      <c r="C15" s="77" t="s">
        <v>118</v>
      </c>
      <c r="D15" s="77" t="s">
        <v>118</v>
      </c>
      <c r="E15" s="77" t="s">
        <v>118</v>
      </c>
    </row>
    <row r="16" spans="1:13">
      <c r="A16" s="78" t="s">
        <v>104</v>
      </c>
      <c r="B16" s="79" t="s">
        <v>7</v>
      </c>
      <c r="C16" s="77" t="s">
        <v>118</v>
      </c>
      <c r="D16" s="77" t="s">
        <v>118</v>
      </c>
      <c r="E16" s="77" t="s">
        <v>118</v>
      </c>
    </row>
    <row r="17" spans="1:5">
      <c r="A17" s="78" t="s">
        <v>105</v>
      </c>
      <c r="B17" s="79" t="s">
        <v>8</v>
      </c>
      <c r="C17" s="77">
        <v>0.68</v>
      </c>
      <c r="D17" s="77">
        <f>D13</f>
        <v>1.6353</v>
      </c>
      <c r="E17" s="80">
        <f>E13</f>
        <v>-140.48529411764702</v>
      </c>
    </row>
    <row r="18" spans="1:5">
      <c r="A18" s="78" t="s">
        <v>106</v>
      </c>
      <c r="B18" s="79" t="s">
        <v>9</v>
      </c>
      <c r="C18" s="77">
        <v>0.68</v>
      </c>
      <c r="D18" s="77">
        <f>D13</f>
        <v>1.6353</v>
      </c>
      <c r="E18" s="80">
        <f>E13</f>
        <v>-140.48529411764702</v>
      </c>
    </row>
    <row r="19" spans="1:5" ht="63.75" customHeight="1">
      <c r="A19" s="106">
        <v>3</v>
      </c>
      <c r="B19" s="112" t="s">
        <v>231</v>
      </c>
      <c r="C19" s="110">
        <v>8.6400000000000005E-2</v>
      </c>
      <c r="D19" s="110">
        <v>8.6400000000000005E-2</v>
      </c>
      <c r="E19" s="111">
        <f>(C19-D19)*100/C19</f>
        <v>0</v>
      </c>
    </row>
    <row r="20" spans="1:5">
      <c r="A20" s="106"/>
      <c r="B20" s="112"/>
      <c r="C20" s="110"/>
      <c r="D20" s="110"/>
      <c r="E20" s="111"/>
    </row>
    <row r="21" spans="1:5">
      <c r="A21" s="78" t="s">
        <v>107</v>
      </c>
      <c r="B21" s="79" t="s">
        <v>6</v>
      </c>
      <c r="C21" s="77" t="s">
        <v>118</v>
      </c>
      <c r="D21" s="77" t="s">
        <v>118</v>
      </c>
      <c r="E21" s="77" t="s">
        <v>118</v>
      </c>
    </row>
    <row r="22" spans="1:5">
      <c r="A22" s="78" t="s">
        <v>108</v>
      </c>
      <c r="B22" s="79" t="s">
        <v>7</v>
      </c>
      <c r="C22" s="77" t="s">
        <v>118</v>
      </c>
      <c r="D22" s="77" t="s">
        <v>118</v>
      </c>
      <c r="E22" s="77" t="s">
        <v>118</v>
      </c>
    </row>
    <row r="23" spans="1:5">
      <c r="A23" s="78" t="s">
        <v>109</v>
      </c>
      <c r="B23" s="79" t="s">
        <v>8</v>
      </c>
      <c r="C23" s="77">
        <v>8.6400000000000005E-2</v>
      </c>
      <c r="D23" s="77">
        <v>8.6400000000000005E-2</v>
      </c>
      <c r="E23" s="80">
        <f>E19</f>
        <v>0</v>
      </c>
    </row>
    <row r="24" spans="1:5">
      <c r="A24" s="78" t="s">
        <v>110</v>
      </c>
      <c r="B24" s="79" t="s">
        <v>9</v>
      </c>
      <c r="C24" s="77">
        <v>8.6400000000000005E-2</v>
      </c>
      <c r="D24" s="77">
        <v>8.6400000000000005E-2</v>
      </c>
      <c r="E24" s="80">
        <f>E19</f>
        <v>0</v>
      </c>
    </row>
    <row r="25" spans="1:5" ht="63.75" customHeight="1">
      <c r="A25" s="106">
        <v>4</v>
      </c>
      <c r="B25" s="112" t="s">
        <v>232</v>
      </c>
      <c r="C25" s="110">
        <v>0</v>
      </c>
      <c r="D25" s="110">
        <v>0</v>
      </c>
      <c r="E25" s="110">
        <v>0</v>
      </c>
    </row>
    <row r="26" spans="1:5">
      <c r="A26" s="106"/>
      <c r="B26" s="112"/>
      <c r="C26" s="110"/>
      <c r="D26" s="110"/>
      <c r="E26" s="110"/>
    </row>
    <row r="27" spans="1:5">
      <c r="A27" s="78" t="s">
        <v>111</v>
      </c>
      <c r="B27" s="79" t="s">
        <v>6</v>
      </c>
      <c r="C27" s="77" t="s">
        <v>118</v>
      </c>
      <c r="D27" s="77" t="s">
        <v>118</v>
      </c>
      <c r="E27" s="77" t="s">
        <v>118</v>
      </c>
    </row>
    <row r="28" spans="1:5">
      <c r="A28" s="78" t="s">
        <v>112</v>
      </c>
      <c r="B28" s="79" t="s">
        <v>7</v>
      </c>
      <c r="C28" s="77" t="s">
        <v>118</v>
      </c>
      <c r="D28" s="77" t="s">
        <v>118</v>
      </c>
      <c r="E28" s="77" t="s">
        <v>118</v>
      </c>
    </row>
    <row r="29" spans="1:5">
      <c r="A29" s="78" t="s">
        <v>113</v>
      </c>
      <c r="B29" s="79" t="s">
        <v>8</v>
      </c>
      <c r="C29" s="77" t="s">
        <v>118</v>
      </c>
      <c r="D29" s="77" t="s">
        <v>118</v>
      </c>
      <c r="E29" s="77" t="s">
        <v>118</v>
      </c>
    </row>
    <row r="30" spans="1:5">
      <c r="A30" s="78" t="s">
        <v>114</v>
      </c>
      <c r="B30" s="79" t="s">
        <v>9</v>
      </c>
      <c r="C30" s="77" t="s">
        <v>118</v>
      </c>
      <c r="D30" s="77" t="s">
        <v>118</v>
      </c>
      <c r="E30" s="77" t="s">
        <v>118</v>
      </c>
    </row>
    <row r="31" spans="1:5" ht="38.25">
      <c r="A31" s="75">
        <v>5</v>
      </c>
      <c r="B31" s="81" t="s">
        <v>10</v>
      </c>
      <c r="C31" s="77">
        <v>0</v>
      </c>
      <c r="D31" s="77">
        <v>0</v>
      </c>
      <c r="E31" s="77">
        <v>0</v>
      </c>
    </row>
    <row r="32" spans="1:5" ht="51">
      <c r="A32" s="78" t="s">
        <v>115</v>
      </c>
      <c r="B32" s="81" t="s">
        <v>11</v>
      </c>
      <c r="C32" s="77">
        <v>0</v>
      </c>
      <c r="D32" s="77">
        <v>0</v>
      </c>
      <c r="E32" s="77">
        <v>0</v>
      </c>
    </row>
    <row r="34" spans="1:20" s="82" customFormat="1" ht="12.75" customHeight="1">
      <c r="A34" s="104" t="s">
        <v>234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</row>
    <row r="35" spans="1:20">
      <c r="A35" s="83"/>
    </row>
    <row r="36" spans="1:20" ht="133.5" customHeight="1">
      <c r="A36" s="106" t="s">
        <v>2</v>
      </c>
      <c r="B36" s="106" t="s">
        <v>12</v>
      </c>
      <c r="C36" s="106" t="s">
        <v>13</v>
      </c>
      <c r="D36" s="106"/>
      <c r="E36" s="106"/>
      <c r="F36" s="106"/>
      <c r="G36" s="106" t="s">
        <v>14</v>
      </c>
      <c r="H36" s="106"/>
      <c r="I36" s="106"/>
      <c r="J36" s="106"/>
      <c r="K36" s="106" t="s">
        <v>15</v>
      </c>
      <c r="L36" s="106"/>
      <c r="M36" s="106"/>
      <c r="N36" s="106"/>
      <c r="O36" s="106" t="s">
        <v>16</v>
      </c>
      <c r="P36" s="106"/>
      <c r="Q36" s="106"/>
      <c r="R36" s="106"/>
      <c r="S36" s="106" t="s">
        <v>17</v>
      </c>
      <c r="T36" s="106" t="s">
        <v>18</v>
      </c>
    </row>
    <row r="37" spans="1:20" ht="33" customHeight="1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</row>
    <row r="38" spans="1:20">
      <c r="A38" s="106"/>
      <c r="B38" s="106"/>
      <c r="C38" s="75" t="s">
        <v>19</v>
      </c>
      <c r="D38" s="75" t="s">
        <v>20</v>
      </c>
      <c r="E38" s="75" t="s">
        <v>21</v>
      </c>
      <c r="F38" s="75" t="s">
        <v>22</v>
      </c>
      <c r="G38" s="75" t="s">
        <v>19</v>
      </c>
      <c r="H38" s="75" t="s">
        <v>20</v>
      </c>
      <c r="I38" s="75" t="s">
        <v>21</v>
      </c>
      <c r="J38" s="75" t="s">
        <v>22</v>
      </c>
      <c r="K38" s="75" t="s">
        <v>19</v>
      </c>
      <c r="L38" s="75" t="s">
        <v>20</v>
      </c>
      <c r="M38" s="75" t="s">
        <v>21</v>
      </c>
      <c r="N38" s="75" t="s">
        <v>22</v>
      </c>
      <c r="O38" s="75" t="s">
        <v>19</v>
      </c>
      <c r="P38" s="75" t="s">
        <v>20</v>
      </c>
      <c r="Q38" s="75" t="s">
        <v>21</v>
      </c>
      <c r="R38" s="75" t="s">
        <v>22</v>
      </c>
      <c r="S38" s="106"/>
      <c r="T38" s="106"/>
    </row>
    <row r="39" spans="1:20">
      <c r="A39" s="75">
        <v>1</v>
      </c>
      <c r="B39" s="75">
        <v>2</v>
      </c>
      <c r="C39" s="75">
        <v>3</v>
      </c>
      <c r="D39" s="75">
        <v>4</v>
      </c>
      <c r="E39" s="75">
        <v>5</v>
      </c>
      <c r="F39" s="75">
        <v>6</v>
      </c>
      <c r="G39" s="75">
        <v>7</v>
      </c>
      <c r="H39" s="75">
        <v>8</v>
      </c>
      <c r="I39" s="75">
        <v>9</v>
      </c>
      <c r="J39" s="75">
        <v>10</v>
      </c>
      <c r="K39" s="75">
        <v>11</v>
      </c>
      <c r="L39" s="75">
        <v>12</v>
      </c>
      <c r="M39" s="75">
        <v>13</v>
      </c>
      <c r="N39" s="75">
        <v>14</v>
      </c>
      <c r="O39" s="75">
        <v>15</v>
      </c>
      <c r="P39" s="75">
        <v>16</v>
      </c>
      <c r="Q39" s="75">
        <v>17</v>
      </c>
      <c r="R39" s="75">
        <v>18</v>
      </c>
      <c r="S39" s="75">
        <v>19</v>
      </c>
      <c r="T39" s="75">
        <v>20</v>
      </c>
    </row>
    <row r="40" spans="1:20">
      <c r="A40" s="75">
        <v>1</v>
      </c>
      <c r="B40" s="84" t="s">
        <v>251</v>
      </c>
      <c r="C40" s="75"/>
      <c r="D40" s="75"/>
      <c r="E40" s="75">
        <f>D7</f>
        <v>0.14149999999999999</v>
      </c>
      <c r="F40" s="75">
        <f>D12</f>
        <v>0.14149999999999999</v>
      </c>
      <c r="G40" s="75"/>
      <c r="H40" s="75"/>
      <c r="I40" s="75">
        <f>D13</f>
        <v>1.6353</v>
      </c>
      <c r="J40" s="75">
        <f>D18</f>
        <v>1.6353</v>
      </c>
      <c r="K40" s="75"/>
      <c r="L40" s="75"/>
      <c r="M40" s="75">
        <f>D23</f>
        <v>8.6400000000000005E-2</v>
      </c>
      <c r="N40" s="75">
        <f>D24</f>
        <v>8.6400000000000005E-2</v>
      </c>
      <c r="O40" s="75"/>
      <c r="P40" s="75"/>
      <c r="Q40" s="75">
        <v>0</v>
      </c>
      <c r="R40" s="75">
        <v>0</v>
      </c>
      <c r="S40" s="75">
        <v>0.89749999999999996</v>
      </c>
      <c r="T40" s="75"/>
    </row>
    <row r="41" spans="1:20">
      <c r="A41" s="75" t="s">
        <v>23</v>
      </c>
      <c r="B41" s="84" t="s">
        <v>24</v>
      </c>
      <c r="C41" s="77">
        <f>C40</f>
        <v>0</v>
      </c>
      <c r="D41" s="77">
        <f t="shared" ref="D41:S41" si="0">D40</f>
        <v>0</v>
      </c>
      <c r="E41" s="77">
        <f t="shared" si="0"/>
        <v>0.14149999999999999</v>
      </c>
      <c r="F41" s="77">
        <f t="shared" si="0"/>
        <v>0.14149999999999999</v>
      </c>
      <c r="G41" s="77">
        <f t="shared" si="0"/>
        <v>0</v>
      </c>
      <c r="H41" s="77">
        <f t="shared" si="0"/>
        <v>0</v>
      </c>
      <c r="I41" s="77">
        <f t="shared" si="0"/>
        <v>1.6353</v>
      </c>
      <c r="J41" s="77">
        <f t="shared" si="0"/>
        <v>1.6353</v>
      </c>
      <c r="K41" s="77">
        <f t="shared" si="0"/>
        <v>0</v>
      </c>
      <c r="L41" s="77">
        <f t="shared" si="0"/>
        <v>0</v>
      </c>
      <c r="M41" s="77">
        <f t="shared" si="0"/>
        <v>8.6400000000000005E-2</v>
      </c>
      <c r="N41" s="77">
        <f t="shared" si="0"/>
        <v>8.6400000000000005E-2</v>
      </c>
      <c r="O41" s="77">
        <f t="shared" si="0"/>
        <v>0</v>
      </c>
      <c r="P41" s="77">
        <f t="shared" si="0"/>
        <v>0</v>
      </c>
      <c r="Q41" s="77">
        <f t="shared" si="0"/>
        <v>0</v>
      </c>
      <c r="R41" s="77">
        <f t="shared" si="0"/>
        <v>0</v>
      </c>
      <c r="S41" s="77">
        <f t="shared" si="0"/>
        <v>0.89749999999999996</v>
      </c>
      <c r="T41" s="77"/>
    </row>
    <row r="42" spans="1:20">
      <c r="A42" s="83"/>
    </row>
    <row r="43" spans="1:20" ht="15" customHeight="1">
      <c r="A43" s="104" t="s">
        <v>126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</row>
    <row r="44" spans="1:20" ht="15" customHeight="1">
      <c r="A44" s="107" t="s">
        <v>127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</row>
    <row r="45" spans="1:20" ht="15" customHeight="1">
      <c r="A45" s="107" t="s">
        <v>128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</row>
    <row r="46" spans="1:20" ht="15" customHeight="1">
      <c r="A46" s="107" t="s">
        <v>129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</row>
    <row r="47" spans="1:20" ht="15" customHeight="1">
      <c r="A47" s="104" t="s">
        <v>25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</row>
  </sheetData>
  <mergeCells count="39">
    <mergeCell ref="B25:B26"/>
    <mergeCell ref="A1:M1"/>
    <mergeCell ref="A4:A5"/>
    <mergeCell ref="B4:B5"/>
    <mergeCell ref="C4:E4"/>
    <mergeCell ref="A7:A8"/>
    <mergeCell ref="C7:C8"/>
    <mergeCell ref="D7:D8"/>
    <mergeCell ref="E7:E8"/>
    <mergeCell ref="B7:B8"/>
    <mergeCell ref="A34:T34"/>
    <mergeCell ref="A2:M2"/>
    <mergeCell ref="A25:A26"/>
    <mergeCell ref="C25:C26"/>
    <mergeCell ref="D25:D26"/>
    <mergeCell ref="E25:E26"/>
    <mergeCell ref="A13:A14"/>
    <mergeCell ref="C13:C14"/>
    <mergeCell ref="D13:D14"/>
    <mergeCell ref="E13:E14"/>
    <mergeCell ref="A19:A20"/>
    <mergeCell ref="C19:C20"/>
    <mergeCell ref="D19:D20"/>
    <mergeCell ref="E19:E20"/>
    <mergeCell ref="B13:B14"/>
    <mergeCell ref="B19:B20"/>
    <mergeCell ref="A43:T43"/>
    <mergeCell ref="A47:T47"/>
    <mergeCell ref="A36:A38"/>
    <mergeCell ref="B36:B38"/>
    <mergeCell ref="C36:F37"/>
    <mergeCell ref="G36:J37"/>
    <mergeCell ref="K36:N37"/>
    <mergeCell ref="O36:R37"/>
    <mergeCell ref="A44:T44"/>
    <mergeCell ref="A46:T46"/>
    <mergeCell ref="A45:T45"/>
    <mergeCell ref="S36:S38"/>
    <mergeCell ref="T36:T38"/>
  </mergeCells>
  <pageMargins left="0.7" right="0.7" top="0.75" bottom="0.75" header="0.3" footer="0.3"/>
  <pageSetup paperSize="9" scale="2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4"/>
  <sheetViews>
    <sheetView view="pageBreakPreview" zoomScale="85" zoomScaleSheetLayoutView="85" workbookViewId="0">
      <selection activeCell="O26" sqref="O26"/>
    </sheetView>
  </sheetViews>
  <sheetFormatPr defaultRowHeight="15"/>
  <cols>
    <col min="1" max="1" width="5" style="1" customWidth="1"/>
    <col min="2" max="2" width="34.7109375" style="1" customWidth="1"/>
    <col min="3" max="4" width="9.140625" style="1"/>
    <col min="5" max="5" width="10.5703125" style="1" customWidth="1"/>
    <col min="6" max="6" width="10.7109375" style="1" customWidth="1"/>
    <col min="7" max="7" width="9.140625" style="1"/>
    <col min="8" max="8" width="11.42578125" style="1" customWidth="1"/>
    <col min="9" max="10" width="9.140625" style="1"/>
    <col min="11" max="11" width="11.140625" style="1" customWidth="1"/>
    <col min="12" max="13" width="9.140625" style="1"/>
    <col min="14" max="14" width="11.140625" style="1" customWidth="1"/>
    <col min="15" max="16" width="9.140625" style="1"/>
    <col min="17" max="17" width="11" style="1" customWidth="1"/>
    <col min="18" max="16384" width="9.140625" style="1"/>
  </cols>
  <sheetData>
    <row r="1" spans="1:18" s="3" customFormat="1" ht="15.75">
      <c r="A1" s="125" t="s">
        <v>235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8">
      <c r="A2" s="126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8" ht="56.25" customHeight="1">
      <c r="A3" s="117" t="s">
        <v>236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9"/>
      <c r="O3" s="119"/>
      <c r="P3" s="119"/>
      <c r="Q3" s="119"/>
      <c r="R3" s="119"/>
    </row>
    <row r="4" spans="1:18">
      <c r="A4" s="117" t="s">
        <v>123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9"/>
      <c r="O4" s="119"/>
      <c r="P4" s="119"/>
      <c r="Q4" s="119"/>
      <c r="R4" s="119"/>
    </row>
    <row r="5" spans="1:18">
      <c r="A5" s="120" t="s">
        <v>125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</row>
    <row r="6" spans="1:18">
      <c r="A6" s="120" t="s">
        <v>122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</row>
    <row r="7" spans="1:18">
      <c r="A7" s="120" t="s">
        <v>124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</row>
    <row r="8" spans="1:18">
      <c r="A8" s="117" t="s">
        <v>27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9"/>
      <c r="O8" s="119"/>
      <c r="P8" s="119"/>
      <c r="Q8" s="119"/>
      <c r="R8" s="119"/>
    </row>
    <row r="9" spans="1:18">
      <c r="A9" s="117" t="s">
        <v>28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</row>
    <row r="10" spans="1:18">
      <c r="A10" s="2"/>
    </row>
    <row r="11" spans="1:18">
      <c r="A11" s="114" t="s">
        <v>2</v>
      </c>
      <c r="B11" s="114" t="s">
        <v>0</v>
      </c>
      <c r="C11" s="114" t="s">
        <v>29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 t="s">
        <v>30</v>
      </c>
    </row>
    <row r="12" spans="1:18" ht="25.5" customHeight="1">
      <c r="A12" s="114"/>
      <c r="B12" s="114"/>
      <c r="C12" s="114" t="s">
        <v>31</v>
      </c>
      <c r="D12" s="114"/>
      <c r="E12" s="114"/>
      <c r="F12" s="114" t="s">
        <v>32</v>
      </c>
      <c r="G12" s="114"/>
      <c r="H12" s="114"/>
      <c r="I12" s="114" t="s">
        <v>33</v>
      </c>
      <c r="J12" s="114"/>
      <c r="K12" s="114"/>
      <c r="L12" s="114" t="s">
        <v>34</v>
      </c>
      <c r="M12" s="114"/>
      <c r="N12" s="114"/>
      <c r="O12" s="114" t="s">
        <v>35</v>
      </c>
      <c r="P12" s="114"/>
      <c r="Q12" s="114"/>
      <c r="R12" s="114"/>
    </row>
    <row r="13" spans="1:18" ht="51">
      <c r="A13" s="114"/>
      <c r="B13" s="114"/>
      <c r="C13" s="7" t="s">
        <v>3</v>
      </c>
      <c r="D13" s="7" t="s">
        <v>4</v>
      </c>
      <c r="E13" s="30" t="s">
        <v>5</v>
      </c>
      <c r="F13" s="7" t="s">
        <v>3</v>
      </c>
      <c r="G13" s="7" t="s">
        <v>4</v>
      </c>
      <c r="H13" s="30" t="s">
        <v>5</v>
      </c>
      <c r="I13" s="7" t="s">
        <v>3</v>
      </c>
      <c r="J13" s="7" t="s">
        <v>4</v>
      </c>
      <c r="K13" s="7" t="s">
        <v>36</v>
      </c>
      <c r="L13" s="7" t="s">
        <v>3</v>
      </c>
      <c r="M13" s="7" t="s">
        <v>4</v>
      </c>
      <c r="N13" s="7" t="s">
        <v>36</v>
      </c>
      <c r="O13" s="7" t="s">
        <v>3</v>
      </c>
      <c r="P13" s="7" t="s">
        <v>4</v>
      </c>
      <c r="Q13" s="7" t="s">
        <v>36</v>
      </c>
      <c r="R13" s="10"/>
    </row>
    <row r="14" spans="1:18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7">
        <v>16</v>
      </c>
      <c r="Q14" s="7">
        <v>17</v>
      </c>
      <c r="R14" s="7">
        <v>18</v>
      </c>
    </row>
    <row r="15" spans="1:18" ht="38.25">
      <c r="A15" s="7">
        <v>1</v>
      </c>
      <c r="B15" s="11" t="s">
        <v>37</v>
      </c>
      <c r="C15" s="9">
        <v>0</v>
      </c>
      <c r="D15" s="9">
        <v>4</v>
      </c>
      <c r="E15" s="9">
        <f>(D15-C15)/D15</f>
        <v>1</v>
      </c>
      <c r="F15" s="9">
        <v>0</v>
      </c>
      <c r="G15" s="9">
        <v>4</v>
      </c>
      <c r="H15" s="31">
        <f>(G15-F15)/G15</f>
        <v>1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f>D15+G15+J15+M15+P15</f>
        <v>8</v>
      </c>
    </row>
    <row r="16" spans="1:18" ht="63.75">
      <c r="A16" s="7">
        <v>2</v>
      </c>
      <c r="B16" s="10" t="s">
        <v>38</v>
      </c>
      <c r="C16" s="9">
        <v>0</v>
      </c>
      <c r="D16" s="9">
        <v>4</v>
      </c>
      <c r="E16" s="31">
        <f t="shared" ref="E16:E26" si="0">(D16-C16)/D16</f>
        <v>1</v>
      </c>
      <c r="F16" s="9">
        <v>0</v>
      </c>
      <c r="G16" s="9">
        <v>4</v>
      </c>
      <c r="H16" s="31">
        <f t="shared" ref="H16:H26" si="1">(G16-F16)/G16</f>
        <v>1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32">
        <f t="shared" ref="R16:R26" si="2">D16+G16+J16+M16+P16</f>
        <v>8</v>
      </c>
    </row>
    <row r="17" spans="1:18" ht="102">
      <c r="A17" s="7">
        <v>3</v>
      </c>
      <c r="B17" s="10" t="s">
        <v>39</v>
      </c>
      <c r="C17" s="9">
        <v>0</v>
      </c>
      <c r="D17" s="9">
        <v>0</v>
      </c>
      <c r="E17" s="31">
        <v>0</v>
      </c>
      <c r="F17" s="9">
        <v>0</v>
      </c>
      <c r="G17" s="9">
        <v>0</v>
      </c>
      <c r="H17" s="31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32">
        <f t="shared" si="2"/>
        <v>0</v>
      </c>
    </row>
    <row r="18" spans="1:18">
      <c r="A18" s="12" t="s">
        <v>107</v>
      </c>
      <c r="B18" s="10" t="s">
        <v>40</v>
      </c>
      <c r="C18" s="9">
        <v>0</v>
      </c>
      <c r="D18" s="9">
        <v>0</v>
      </c>
      <c r="E18" s="31">
        <v>0</v>
      </c>
      <c r="F18" s="9">
        <v>0</v>
      </c>
      <c r="G18" s="9">
        <v>0</v>
      </c>
      <c r="H18" s="31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32">
        <f t="shared" si="2"/>
        <v>0</v>
      </c>
    </row>
    <row r="19" spans="1:18">
      <c r="A19" s="12" t="s">
        <v>108</v>
      </c>
      <c r="B19" s="10" t="s">
        <v>41</v>
      </c>
      <c r="C19" s="9">
        <v>0</v>
      </c>
      <c r="D19" s="9">
        <v>0</v>
      </c>
      <c r="E19" s="31">
        <v>0</v>
      </c>
      <c r="F19" s="9">
        <v>0</v>
      </c>
      <c r="G19" s="9">
        <v>0</v>
      </c>
      <c r="H19" s="31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32">
        <f t="shared" si="2"/>
        <v>0</v>
      </c>
    </row>
    <row r="20" spans="1:18" ht="63.75">
      <c r="A20" s="7">
        <v>4</v>
      </c>
      <c r="B20" s="10" t="s">
        <v>42</v>
      </c>
      <c r="C20" s="9">
        <v>0</v>
      </c>
      <c r="D20" s="9">
        <v>3</v>
      </c>
      <c r="E20" s="31">
        <f t="shared" si="0"/>
        <v>1</v>
      </c>
      <c r="F20" s="9">
        <v>0</v>
      </c>
      <c r="G20" s="9">
        <v>3</v>
      </c>
      <c r="H20" s="31">
        <f t="shared" si="1"/>
        <v>1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32">
        <f t="shared" si="2"/>
        <v>6</v>
      </c>
    </row>
    <row r="21" spans="1:18" ht="51">
      <c r="A21" s="7">
        <v>5</v>
      </c>
      <c r="B21" s="10" t="s">
        <v>43</v>
      </c>
      <c r="C21" s="9">
        <v>0</v>
      </c>
      <c r="D21" s="9">
        <v>4</v>
      </c>
      <c r="E21" s="31">
        <f t="shared" si="0"/>
        <v>1</v>
      </c>
      <c r="F21" s="9">
        <v>0</v>
      </c>
      <c r="G21" s="9">
        <v>2</v>
      </c>
      <c r="H21" s="31">
        <f t="shared" si="1"/>
        <v>1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32">
        <f t="shared" si="2"/>
        <v>6</v>
      </c>
    </row>
    <row r="22" spans="1:18" ht="51">
      <c r="A22" s="7">
        <v>6</v>
      </c>
      <c r="B22" s="10" t="s">
        <v>44</v>
      </c>
      <c r="C22" s="9">
        <v>0</v>
      </c>
      <c r="D22" s="9">
        <v>4</v>
      </c>
      <c r="E22" s="31">
        <f t="shared" si="0"/>
        <v>1</v>
      </c>
      <c r="F22" s="9">
        <v>0</v>
      </c>
      <c r="G22" s="9">
        <v>2</v>
      </c>
      <c r="H22" s="31">
        <f t="shared" si="1"/>
        <v>1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32">
        <f t="shared" si="2"/>
        <v>6</v>
      </c>
    </row>
    <row r="23" spans="1:18" ht="89.25">
      <c r="A23" s="7">
        <v>7</v>
      </c>
      <c r="B23" s="10" t="s">
        <v>45</v>
      </c>
      <c r="C23" s="9">
        <v>0</v>
      </c>
      <c r="D23" s="9">
        <v>0</v>
      </c>
      <c r="E23" s="31">
        <v>0</v>
      </c>
      <c r="F23" s="9">
        <v>0</v>
      </c>
      <c r="G23" s="9">
        <v>0</v>
      </c>
      <c r="H23" s="31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32">
        <f t="shared" si="2"/>
        <v>0</v>
      </c>
    </row>
    <row r="24" spans="1:18">
      <c r="A24" s="12" t="s">
        <v>116</v>
      </c>
      <c r="B24" s="10" t="s">
        <v>40</v>
      </c>
      <c r="C24" s="9">
        <v>0</v>
      </c>
      <c r="D24" s="9">
        <v>0</v>
      </c>
      <c r="E24" s="31">
        <v>0</v>
      </c>
      <c r="F24" s="9">
        <v>0</v>
      </c>
      <c r="G24" s="9">
        <v>0</v>
      </c>
      <c r="H24" s="31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32">
        <f t="shared" si="2"/>
        <v>0</v>
      </c>
    </row>
    <row r="25" spans="1:18">
      <c r="A25" s="12" t="s">
        <v>117</v>
      </c>
      <c r="B25" s="10" t="s">
        <v>46</v>
      </c>
      <c r="C25" s="9">
        <v>0</v>
      </c>
      <c r="D25" s="9">
        <v>0</v>
      </c>
      <c r="E25" s="31">
        <v>0</v>
      </c>
      <c r="F25" s="9">
        <v>0</v>
      </c>
      <c r="G25" s="9">
        <v>0</v>
      </c>
      <c r="H25" s="31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32">
        <f t="shared" si="2"/>
        <v>0</v>
      </c>
    </row>
    <row r="26" spans="1:18" ht="51">
      <c r="A26" s="7">
        <v>8</v>
      </c>
      <c r="B26" s="10" t="s">
        <v>47</v>
      </c>
      <c r="C26" s="9">
        <v>0</v>
      </c>
      <c r="D26" s="9">
        <v>3</v>
      </c>
      <c r="E26" s="31">
        <f t="shared" si="0"/>
        <v>1</v>
      </c>
      <c r="F26" s="9">
        <v>0</v>
      </c>
      <c r="G26" s="9">
        <v>10</v>
      </c>
      <c r="H26" s="31">
        <f t="shared" si="1"/>
        <v>1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32">
        <f t="shared" si="2"/>
        <v>13</v>
      </c>
    </row>
    <row r="27" spans="1:18">
      <c r="A27" s="2"/>
    </row>
    <row r="28" spans="1:18" ht="33.75" customHeight="1">
      <c r="A28" s="115" t="s">
        <v>48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</row>
    <row r="29" spans="1:18" ht="28.5" customHeight="1">
      <c r="A29" s="121" t="s">
        <v>237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</row>
    <row r="30" spans="1:18">
      <c r="B30" s="114" t="s">
        <v>49</v>
      </c>
      <c r="C30" s="114"/>
      <c r="D30" s="114"/>
      <c r="E30" s="114">
        <v>15</v>
      </c>
      <c r="F30" s="114"/>
      <c r="G30" s="114">
        <v>150</v>
      </c>
      <c r="H30" s="114"/>
      <c r="I30" s="114">
        <v>250</v>
      </c>
      <c r="J30" s="114"/>
      <c r="K30" s="114">
        <v>670</v>
      </c>
      <c r="L30" s="114"/>
    </row>
    <row r="31" spans="1:18">
      <c r="B31" s="114" t="s">
        <v>50</v>
      </c>
      <c r="C31" s="114"/>
      <c r="D31" s="114"/>
      <c r="E31" s="7" t="s">
        <v>51</v>
      </c>
      <c r="F31" s="7" t="s">
        <v>52</v>
      </c>
      <c r="G31" s="7" t="s">
        <v>51</v>
      </c>
      <c r="H31" s="7" t="s">
        <v>52</v>
      </c>
      <c r="I31" s="7" t="s">
        <v>51</v>
      </c>
      <c r="J31" s="7" t="s">
        <v>52</v>
      </c>
      <c r="K31" s="7" t="s">
        <v>51</v>
      </c>
      <c r="L31" s="7" t="s">
        <v>52</v>
      </c>
    </row>
    <row r="32" spans="1:18" ht="114.75">
      <c r="B32" s="7" t="s">
        <v>53</v>
      </c>
      <c r="C32" s="7" t="s">
        <v>54</v>
      </c>
      <c r="D32" s="7" t="s">
        <v>55</v>
      </c>
      <c r="E32" s="26" t="s">
        <v>245</v>
      </c>
      <c r="F32" s="26" t="s">
        <v>246</v>
      </c>
      <c r="G32" s="26" t="s">
        <v>245</v>
      </c>
      <c r="H32" s="26" t="s">
        <v>245</v>
      </c>
      <c r="I32" s="26" t="s">
        <v>245</v>
      </c>
      <c r="J32" s="26" t="s">
        <v>245</v>
      </c>
      <c r="K32" s="26" t="s">
        <v>245</v>
      </c>
      <c r="L32" s="26" t="s">
        <v>245</v>
      </c>
    </row>
    <row r="33" spans="2:12">
      <c r="B33" s="113" t="s">
        <v>247</v>
      </c>
      <c r="C33" s="113" t="s">
        <v>56</v>
      </c>
      <c r="D33" s="25" t="s">
        <v>57</v>
      </c>
      <c r="E33" s="27">
        <f>(66.91*15+2*(315089.02*0.3)+539.96*15)</f>
        <v>198156.462</v>
      </c>
      <c r="F33" s="122">
        <v>550</v>
      </c>
      <c r="G33" s="27">
        <f>(66.91*150+2*(315089.02*0.3)+539.96*150)</f>
        <v>280083.91200000001</v>
      </c>
      <c r="H33" s="27">
        <f>66.91*150+(315089.02*0.3)+539.96*150</f>
        <v>185557.20600000001</v>
      </c>
      <c r="I33" s="27">
        <f>(66.91*250+2*(630178.54*0.3)+1079.93*250)</f>
        <v>664817.12400000007</v>
      </c>
      <c r="J33" s="27">
        <f>66.91*250+(630178.54*0.3)+1079.93*250</f>
        <v>475763.56200000003</v>
      </c>
      <c r="K33" s="27">
        <f>(66.91*670+2*(630178.54*0.3)+1079.93*670)</f>
        <v>1146489.9240000001</v>
      </c>
      <c r="L33" s="27">
        <f>66.91*670+(630178.54*0.3)+1079.93*670</f>
        <v>957436.36200000008</v>
      </c>
    </row>
    <row r="34" spans="2:12">
      <c r="B34" s="113"/>
      <c r="C34" s="113"/>
      <c r="D34" s="25" t="s">
        <v>58</v>
      </c>
      <c r="E34" s="27">
        <f>(66.91*15+2*(157903.11*0.3)+539.96*15)</f>
        <v>103844.91599999998</v>
      </c>
      <c r="F34" s="123"/>
      <c r="G34" s="27">
        <f>(66.91*150+2*(157903.11*0.3)+539.96*150)</f>
        <v>185772.36599999998</v>
      </c>
      <c r="H34" s="27">
        <f>66.91*150+(157903.11*0.3)+539.96*150</f>
        <v>138401.43299999999</v>
      </c>
      <c r="I34" s="27">
        <f>(66.91*250+2*(315806.44*0.3)+1079.93*250)</f>
        <v>476193.864</v>
      </c>
      <c r="J34" s="27">
        <f>66.91*250+(315806.44*0.3)+1079.93*250</f>
        <v>381451.93200000003</v>
      </c>
      <c r="K34" s="27">
        <f>(66.91*670+2*(315806.44*0.3)+1079.93*670)</f>
        <v>957866.66400000011</v>
      </c>
      <c r="L34" s="27">
        <f>66.91*670+(315806.44*0.3)+1079.93*670</f>
        <v>863124.73200000008</v>
      </c>
    </row>
    <row r="35" spans="2:12">
      <c r="B35" s="113"/>
      <c r="C35" s="113" t="s">
        <v>59</v>
      </c>
      <c r="D35" s="25" t="s">
        <v>57</v>
      </c>
      <c r="E35" s="27">
        <f>(66.91*15+2*(315089.02*0.3))</f>
        <v>190057.06200000001</v>
      </c>
      <c r="F35" s="122">
        <v>550</v>
      </c>
      <c r="G35" s="27">
        <f>(66.91*150+2*(315089.02*0.3))</f>
        <v>199089.91200000001</v>
      </c>
      <c r="H35" s="27">
        <f>66.91*150+(315089.02*0.3)</f>
        <v>104563.20600000001</v>
      </c>
      <c r="I35" s="27">
        <f>(66.91*250+2*(630178.54*0.3))</f>
        <v>394834.62400000001</v>
      </c>
      <c r="J35" s="27">
        <f>66.91*250+(630178.54*0.3)</f>
        <v>205781.06200000001</v>
      </c>
      <c r="K35" s="27">
        <f>(66.91*670+2*(630178.54*0.3))</f>
        <v>422936.82400000002</v>
      </c>
      <c r="L35" s="27">
        <f>66.91*670+(630178.54*0.3)</f>
        <v>233883.26199999999</v>
      </c>
    </row>
    <row r="36" spans="2:12">
      <c r="B36" s="113"/>
      <c r="C36" s="113"/>
      <c r="D36" s="25" t="s">
        <v>58</v>
      </c>
      <c r="E36" s="27">
        <f>(66.91*15+2*(157903.11*0.3))</f>
        <v>95745.515999999989</v>
      </c>
      <c r="F36" s="124"/>
      <c r="G36" s="27">
        <f>(66.91*150+2*(157903.11*0.3))</f>
        <v>104778.36599999999</v>
      </c>
      <c r="H36" s="27">
        <f>66.91*150+(157903.11*0.3)</f>
        <v>57407.432999999997</v>
      </c>
      <c r="I36" s="27">
        <f>(66.91*250+2*(315806.44*0.3))</f>
        <v>206211.364</v>
      </c>
      <c r="J36" s="27">
        <f>66.91*250+(315806.44*0.3)</f>
        <v>111469.432</v>
      </c>
      <c r="K36" s="27">
        <f>(66.91*670+2*(315806.44*0.3))</f>
        <v>234313.56400000001</v>
      </c>
      <c r="L36" s="27">
        <f>66.91*670+(315806.44*0.3)</f>
        <v>139571.63199999998</v>
      </c>
    </row>
    <row r="37" spans="2:12">
      <c r="B37" s="113" t="s">
        <v>248</v>
      </c>
      <c r="C37" s="113" t="s">
        <v>56</v>
      </c>
      <c r="D37" s="8" t="s">
        <v>57</v>
      </c>
      <c r="E37" s="27">
        <f>(66.91*15+2*(315089.02*0.5)+539.96*15)</f>
        <v>324192.07000000007</v>
      </c>
      <c r="F37" s="122">
        <v>550</v>
      </c>
      <c r="G37" s="27">
        <f>(66.91*150+2*(315089.02*0.5)+539.96*150)</f>
        <v>406119.52</v>
      </c>
      <c r="H37" s="27">
        <f>66.91*150+(315089.02*0.5)+539.96*150</f>
        <v>248575.01</v>
      </c>
      <c r="I37" s="27">
        <f>(66.91*250+2*(630178.54*0.5)+1079.93*250)</f>
        <v>916888.54</v>
      </c>
      <c r="J37" s="27">
        <f>66.91*250+(630178.54*0.5)+1079.93*250</f>
        <v>601799.27</v>
      </c>
      <c r="K37" s="27">
        <f>(66.91*670+2*(630178.54*0.5)+1079.93*670)</f>
        <v>1398561.34</v>
      </c>
      <c r="L37" s="27">
        <f>66.91*670+(630178.54*0.5)+1079.93*670</f>
        <v>1083472.07</v>
      </c>
    </row>
    <row r="38" spans="2:12">
      <c r="B38" s="113"/>
      <c r="C38" s="113"/>
      <c r="D38" s="8" t="s">
        <v>58</v>
      </c>
      <c r="E38" s="27">
        <f>(66.91*15+2*(157903.11*0.5)+539.96*15)</f>
        <v>167006.15999999997</v>
      </c>
      <c r="F38" s="124"/>
      <c r="G38" s="27">
        <f>(66.91*150+2*(157903.11*0.5)+539.96*150)</f>
        <v>248933.61</v>
      </c>
      <c r="H38" s="27">
        <f>66.91*150+(157903.11*0.5)+539.96*150</f>
        <v>169982.05499999999</v>
      </c>
      <c r="I38" s="27">
        <f>(66.91*250+2*(315806.44*0.5)+1079.93*250)</f>
        <v>602516.43999999994</v>
      </c>
      <c r="J38" s="27">
        <f>66.91*250+(315806.44*0.5)+1079.93*250</f>
        <v>444613.22</v>
      </c>
      <c r="K38" s="27">
        <f>(66.91*670+2*(315806.44*0.5)+1079.93*670)</f>
        <v>1084189.2400000002</v>
      </c>
      <c r="L38" s="27">
        <f>66.91*670+(315806.44*0.5)+1079.93*670</f>
        <v>926286.02</v>
      </c>
    </row>
    <row r="39" spans="2:12">
      <c r="B39" s="113"/>
      <c r="C39" s="113" t="s">
        <v>59</v>
      </c>
      <c r="D39" s="8" t="s">
        <v>57</v>
      </c>
      <c r="E39" s="27">
        <f>(66.91*15+2*(315089.02*0.5))</f>
        <v>316092.67000000004</v>
      </c>
      <c r="F39" s="122">
        <v>550</v>
      </c>
      <c r="G39" s="27">
        <f>(66.91*150+2*(315089.02*0.5))</f>
        <v>325125.52</v>
      </c>
      <c r="H39" s="27">
        <f>66.91*150+(315089.02*0.5)</f>
        <v>167581.01</v>
      </c>
      <c r="I39" s="27">
        <f>(66.91*250+2*(630178.54*0.5))</f>
        <v>646906.04</v>
      </c>
      <c r="J39" s="27">
        <f>66.91*250+(630178.54*0.5)</f>
        <v>331816.77</v>
      </c>
      <c r="K39" s="27">
        <f>(66.91*670+2*(630178.54*0.5))</f>
        <v>675008.24</v>
      </c>
      <c r="L39" s="27">
        <f>66.91*670+(630178.54*0.5)</f>
        <v>359918.97000000003</v>
      </c>
    </row>
    <row r="40" spans="2:12">
      <c r="B40" s="113"/>
      <c r="C40" s="113"/>
      <c r="D40" s="8" t="s">
        <v>58</v>
      </c>
      <c r="E40" s="27">
        <f>(66.91*15+2*(157903.11*0.5))</f>
        <v>158906.75999999998</v>
      </c>
      <c r="F40" s="124"/>
      <c r="G40" s="27">
        <f>(66.91*150+2*(157903.11*0.5))</f>
        <v>167939.61</v>
      </c>
      <c r="H40" s="27">
        <f>66.91*150+(157903.11*0.5)</f>
        <v>88988.054999999993</v>
      </c>
      <c r="I40" s="27">
        <f>(66.91*250+2*(315806.44*0.5))</f>
        <v>332533.94</v>
      </c>
      <c r="J40" s="27">
        <f>66.91*250+(315806.44*0.5)</f>
        <v>174630.72</v>
      </c>
      <c r="K40" s="27">
        <f>(66.91*670+2*(315806.44*0.5))</f>
        <v>360636.14</v>
      </c>
      <c r="L40" s="27">
        <f>66.91*670+(315806.44*0.5)</f>
        <v>202732.91999999998</v>
      </c>
    </row>
    <row r="41" spans="2:12">
      <c r="B41" s="113">
        <v>750</v>
      </c>
      <c r="C41" s="113" t="s">
        <v>56</v>
      </c>
      <c r="D41" s="8" t="s">
        <v>57</v>
      </c>
      <c r="E41" s="27">
        <f>(66.91*15+2*(315089.02*0.75)+539.96*15)</f>
        <v>481736.58000000007</v>
      </c>
      <c r="F41" s="27">
        <f>66.91*15+(315089.02*0.75)+539.96*15</f>
        <v>245419.815</v>
      </c>
      <c r="G41" s="27">
        <f>(66.91*150+2*(315089.02*0.75)+539.96*150)</f>
        <v>563664.03</v>
      </c>
      <c r="H41" s="27">
        <f>66.91*150+(315089.02*0.75)+539.96*150</f>
        <v>327347.26500000001</v>
      </c>
      <c r="I41" s="27">
        <f>(66.91*250+2*(630178.54*0.75)+1079.93*250)</f>
        <v>1231977.81</v>
      </c>
      <c r="J41" s="27">
        <f>66.91*250+(630178.54*0.75)+1079.93*250</f>
        <v>759343.90500000003</v>
      </c>
      <c r="K41" s="27">
        <f>(66.91*670+2*(630178.54*0.75)+1079.93*670)</f>
        <v>1713650.61</v>
      </c>
      <c r="L41" s="27">
        <f>66.91*670+(630178.54*0.75)+1079.93*670</f>
        <v>1241016.7050000001</v>
      </c>
    </row>
    <row r="42" spans="2:12">
      <c r="B42" s="113"/>
      <c r="C42" s="113"/>
      <c r="D42" s="8" t="s">
        <v>58</v>
      </c>
      <c r="E42" s="27">
        <f>(66.91*15+2*(157903.11*0.75)+539.96*15)</f>
        <v>245957.71499999997</v>
      </c>
      <c r="F42" s="27">
        <f>66.91*15+(157903.11*0.75)+539.96*15</f>
        <v>127530.38249999998</v>
      </c>
      <c r="G42" s="27">
        <f>(66.91*150+2*(157903.11*0.75)+539.96*150)</f>
        <v>327885.16499999998</v>
      </c>
      <c r="H42" s="27">
        <f>66.91*150+(157903.11*0.75)+539.96*150</f>
        <v>209457.83249999999</v>
      </c>
      <c r="I42" s="27">
        <f>(66.91*250+2*(315806.44*0.75)+1079.93*250)</f>
        <v>760419.66</v>
      </c>
      <c r="J42" s="27">
        <f>66.91*250+(315806.44*0.75)+1079.93*250</f>
        <v>523564.83</v>
      </c>
      <c r="K42" s="27">
        <f>(66.91*670+2*(315806.44*0.75)+1079.93*670)</f>
        <v>1242092.4600000002</v>
      </c>
      <c r="L42" s="27">
        <f>66.91*670+(315806.44*0.75)+1079.93*670</f>
        <v>1005237.6300000001</v>
      </c>
    </row>
    <row r="43" spans="2:12">
      <c r="B43" s="113"/>
      <c r="C43" s="113" t="s">
        <v>59</v>
      </c>
      <c r="D43" s="8" t="s">
        <v>57</v>
      </c>
      <c r="E43" s="27">
        <f>(66.91*15+2*(315089.02*0.75))</f>
        <v>473637.18000000005</v>
      </c>
      <c r="F43" s="27">
        <f>66.91*15+(315089.02*0.75)</f>
        <v>237320.41500000001</v>
      </c>
      <c r="G43" s="27">
        <f>(66.91*150+2*(315089.02*0.75))</f>
        <v>482670.03</v>
      </c>
      <c r="H43" s="27">
        <f>66.91*150+(315089.02*0.75)</f>
        <v>246353.26500000001</v>
      </c>
      <c r="I43" s="27">
        <f>(66.91*250+2*(630178.54*0.75))</f>
        <v>961995.31</v>
      </c>
      <c r="J43" s="27">
        <f>66.91*250+(630178.54*0.75)</f>
        <v>489361.40500000003</v>
      </c>
      <c r="K43" s="27">
        <f>(66.91*670+2*(630178.54*0.75))</f>
        <v>990097.51</v>
      </c>
      <c r="L43" s="27">
        <f>66.91*670+(630178.54*0.75)</f>
        <v>517463.60500000004</v>
      </c>
    </row>
    <row r="44" spans="2:12">
      <c r="B44" s="113"/>
      <c r="C44" s="113"/>
      <c r="D44" s="8" t="s">
        <v>58</v>
      </c>
      <c r="E44" s="27">
        <f>(66.91*15+2*(157903.11*0.75))</f>
        <v>237858.31499999997</v>
      </c>
      <c r="F44" s="27">
        <f>66.91*15+(157903.11*0.75)</f>
        <v>119430.98249999998</v>
      </c>
      <c r="G44" s="27">
        <f>(66.91*150+2*(157903.11*0.75))</f>
        <v>246891.16499999998</v>
      </c>
      <c r="H44" s="27">
        <f>66.91*150+(157903.11*0.75)</f>
        <v>128463.83249999999</v>
      </c>
      <c r="I44" s="27">
        <f>(66.91*250+2*(315806.44*0.75))</f>
        <v>490437.16000000003</v>
      </c>
      <c r="J44" s="27">
        <f>66.91*250+(315806.44*0.75)</f>
        <v>253582.33000000002</v>
      </c>
      <c r="K44" s="27">
        <f>(66.91*670+2*(315806.44*0.75))</f>
        <v>518539.36000000004</v>
      </c>
      <c r="L44" s="27">
        <f>66.91*670+(315806.44*0.75)</f>
        <v>281684.53000000003</v>
      </c>
    </row>
    <row r="45" spans="2:12">
      <c r="B45" s="113">
        <v>1000</v>
      </c>
      <c r="C45" s="113" t="s">
        <v>56</v>
      </c>
      <c r="D45" s="8" t="s">
        <v>57</v>
      </c>
      <c r="E45" s="27">
        <f>(66.91*15+2*(315089.02*1)+539.96*15)</f>
        <v>639281.09000000008</v>
      </c>
      <c r="F45" s="27">
        <f>66.91*15+(315089.02*1)+539.96*15</f>
        <v>324192.07000000007</v>
      </c>
      <c r="G45" s="27">
        <f>(66.91*150+2*(315089.02*1)+539.96*150)</f>
        <v>721208.54</v>
      </c>
      <c r="H45" s="27">
        <f>66.91*150+(315089.02*1)+539.96*150</f>
        <v>406119.52</v>
      </c>
      <c r="I45" s="27">
        <f>(66.91*250+2*(630178.54*1)+1079.93*250)</f>
        <v>1547067.08</v>
      </c>
      <c r="J45" s="27">
        <f>66.91*250+(630178.54*1)+1079.93*250</f>
        <v>916888.54</v>
      </c>
      <c r="K45" s="27">
        <f>(66.91*670+2*(630178.54*1)+1079.93*670)</f>
        <v>2028739.8800000001</v>
      </c>
      <c r="L45" s="27">
        <f>66.91*670+(630178.54*1)+1079.93*670</f>
        <v>1398561.34</v>
      </c>
    </row>
    <row r="46" spans="2:12">
      <c r="B46" s="113"/>
      <c r="C46" s="113"/>
      <c r="D46" s="8" t="s">
        <v>58</v>
      </c>
      <c r="E46" s="27">
        <f>(66.91*15+2*(157903.11*1)+539.96*15)</f>
        <v>324909.27</v>
      </c>
      <c r="F46" s="27">
        <f>66.91*15+(157903.11*1)+539.96*15</f>
        <v>167006.15999999997</v>
      </c>
      <c r="G46" s="27">
        <f>(66.91*150+2*(157903.11*1)+539.96*150)</f>
        <v>406836.72</v>
      </c>
      <c r="H46" s="27">
        <f>66.91*150+(157903.11*1)+539.96*150</f>
        <v>248933.61</v>
      </c>
      <c r="I46" s="27">
        <f>(66.91*250+2*(315806.44*1)+1079.93*250)</f>
        <v>918322.88</v>
      </c>
      <c r="J46" s="27">
        <f>66.91*250+(315806.44*1)+1079.93*250</f>
        <v>602516.43999999994</v>
      </c>
      <c r="K46" s="27">
        <f>(66.91*670+2*(315806.44*1)+1079.93*670)</f>
        <v>1399995.6800000002</v>
      </c>
      <c r="L46" s="27">
        <f>66.91*670+(315806.44*1)+1079.93*670</f>
        <v>1084189.2400000002</v>
      </c>
    </row>
    <row r="47" spans="2:12">
      <c r="B47" s="113"/>
      <c r="C47" s="113" t="s">
        <v>59</v>
      </c>
      <c r="D47" s="8" t="s">
        <v>57</v>
      </c>
      <c r="E47" s="27">
        <f>(66.91*15+2*(315089.02*1))</f>
        <v>631181.69000000006</v>
      </c>
      <c r="F47" s="27">
        <f>66.91*15+(315089.02*1)</f>
        <v>316092.67000000004</v>
      </c>
      <c r="G47" s="27">
        <f>(66.91*150+2*(315089.02*1))</f>
        <v>640214.54</v>
      </c>
      <c r="H47" s="27">
        <f>66.91*150+(315089.02*1)</f>
        <v>325125.52</v>
      </c>
      <c r="I47" s="27">
        <f>(66.91*250+2*(630178.54*1))</f>
        <v>1277084.58</v>
      </c>
      <c r="J47" s="27">
        <f>66.91*250+(630178.54*1)</f>
        <v>646906.04</v>
      </c>
      <c r="K47" s="27">
        <f>(66.91*670+2*(630178.54*1))</f>
        <v>1305186.78</v>
      </c>
      <c r="L47" s="27">
        <f>66.91*250+(630178.54*1)</f>
        <v>646906.04</v>
      </c>
    </row>
    <row r="48" spans="2:12">
      <c r="B48" s="113"/>
      <c r="C48" s="113"/>
      <c r="D48" s="8" t="s">
        <v>58</v>
      </c>
      <c r="E48" s="27">
        <f>(66.91*15+2*(157903.11*1))</f>
        <v>316809.87</v>
      </c>
      <c r="F48" s="27">
        <f>66.91*15+(157903.11*1)</f>
        <v>158906.75999999998</v>
      </c>
      <c r="G48" s="27">
        <f>(66.91*150+2*(157903.11*1))</f>
        <v>325842.71999999997</v>
      </c>
      <c r="H48" s="27">
        <f>66.91*150+(157903.11*1)</f>
        <v>167939.61</v>
      </c>
      <c r="I48" s="27">
        <f>(66.91*250+2*(315806.44*1))</f>
        <v>648340.38</v>
      </c>
      <c r="J48" s="27">
        <f>66.91*250+(315806.44*1)</f>
        <v>332533.94</v>
      </c>
      <c r="K48" s="27">
        <f>(66.91*670+2*(315806.44*1))</f>
        <v>676442.58</v>
      </c>
      <c r="L48" s="27">
        <f>66.91*250+(315806.44*1)</f>
        <v>332533.94</v>
      </c>
    </row>
    <row r="49" spans="2:12">
      <c r="B49" s="113">
        <v>1250</v>
      </c>
      <c r="C49" s="113" t="s">
        <v>56</v>
      </c>
      <c r="D49" s="8" t="s">
        <v>57</v>
      </c>
      <c r="E49" s="27">
        <f>(66.91*15+2*(315089.02*1.25)+539.96*15)</f>
        <v>796825.60000000009</v>
      </c>
      <c r="F49" s="27">
        <f>66.91*15+(315089.02*1.25)+539.96*15</f>
        <v>402964.32500000007</v>
      </c>
      <c r="G49" s="27">
        <f>(66.91*150+2*(315089.02*1.25)+539.96*150)</f>
        <v>878753.05</v>
      </c>
      <c r="H49" s="27">
        <f>66.91*150+(315089.02*1.25)+539.96*150</f>
        <v>484891.77500000002</v>
      </c>
      <c r="I49" s="27">
        <f>(66.91*250+2*(630178.54*1.25)+1079.93*250)</f>
        <v>1862156.35</v>
      </c>
      <c r="J49" s="27">
        <f>66.91*250+(630178.54*1.25)+1079.93*250</f>
        <v>1074433.175</v>
      </c>
      <c r="K49" s="27">
        <f>(66.91*670+2*(630178.54*1.25)+1079.93*670)</f>
        <v>2343829.1500000004</v>
      </c>
      <c r="L49" s="27">
        <f>66.91*670+(630178.54*1.25)+1079.93*670</f>
        <v>1556105.9750000001</v>
      </c>
    </row>
    <row r="50" spans="2:12">
      <c r="B50" s="113"/>
      <c r="C50" s="113"/>
      <c r="D50" s="8" t="s">
        <v>58</v>
      </c>
      <c r="E50" s="27">
        <f>(66.91*15+2*(157903.11*1.25)+539.96*15)</f>
        <v>403860.82500000001</v>
      </c>
      <c r="F50" s="27">
        <f>66.91*15+(157903.11*1.25)+539.96*15</f>
        <v>206481.93749999997</v>
      </c>
      <c r="G50" s="27">
        <f>(66.91*150+2*(157903.11*1.25)+539.96*150)</f>
        <v>485788.27499999997</v>
      </c>
      <c r="H50" s="27">
        <f>66.91*150+(157903.11*1.25)+539.96*150</f>
        <v>288409.38749999995</v>
      </c>
      <c r="I50" s="27">
        <f>(66.91*250+2*(315806.44*1.25)+1079.93*250)</f>
        <v>1076226.1000000001</v>
      </c>
      <c r="J50" s="27">
        <f>66.91*250+(315806.44*1.25)+1079.93*250</f>
        <v>681468.05</v>
      </c>
      <c r="K50" s="27">
        <f>(66.91*670+2*(315806.44*1.25)+1079.93*670)</f>
        <v>1557898.9</v>
      </c>
      <c r="L50" s="27">
        <f>66.91*670+(315806.44*1.25)+1079.93*670</f>
        <v>1163140.8500000001</v>
      </c>
    </row>
    <row r="51" spans="2:12">
      <c r="B51" s="113"/>
      <c r="C51" s="113" t="s">
        <v>59</v>
      </c>
      <c r="D51" s="8" t="s">
        <v>57</v>
      </c>
      <c r="E51" s="27">
        <f>(66.91*15+2*(315089.02*1.25))</f>
        <v>788726.20000000007</v>
      </c>
      <c r="F51" s="27">
        <f>66.91*15+(315089.02*1.25)</f>
        <v>394864.92500000005</v>
      </c>
      <c r="G51" s="27">
        <f>(66.91*150+2*(315089.02*1.25))</f>
        <v>797759.05</v>
      </c>
      <c r="H51" s="27">
        <f>66.91*150+(315089.02*1.25)</f>
        <v>403897.77500000002</v>
      </c>
      <c r="I51" s="27">
        <f>(66.91*250+2*(630178.54*1.25))</f>
        <v>1592173.85</v>
      </c>
      <c r="J51" s="27">
        <f>66.91*250+(630178.54*1.25)</f>
        <v>804450.67500000005</v>
      </c>
      <c r="K51" s="27">
        <f>(66.91*670+2*(630178.54*1.25))</f>
        <v>1620276.05</v>
      </c>
      <c r="L51" s="27">
        <f>66.91*250+(630178.54*1.25)</f>
        <v>804450.67500000005</v>
      </c>
    </row>
    <row r="52" spans="2:12">
      <c r="B52" s="113"/>
      <c r="C52" s="113"/>
      <c r="D52" s="8" t="s">
        <v>58</v>
      </c>
      <c r="E52" s="27">
        <f>(66.91*15+2*(157903.11*1.25))</f>
        <v>395761.42499999999</v>
      </c>
      <c r="F52" s="27">
        <f>66.91*15+(157903.11*1.25)</f>
        <v>198382.53749999998</v>
      </c>
      <c r="G52" s="27">
        <f>(66.91*150+2*(157903.11*1.25))</f>
        <v>404794.27499999997</v>
      </c>
      <c r="H52" s="27">
        <f>66.91*150+(157903.11*1.25)</f>
        <v>207415.38749999998</v>
      </c>
      <c r="I52" s="27">
        <f>(66.91*250+2*(315806.44*1.25))</f>
        <v>806243.6</v>
      </c>
      <c r="J52" s="27">
        <f>66.91*250+(315806.44*1.25)</f>
        <v>411485.55</v>
      </c>
      <c r="K52" s="27">
        <f>(66.91*670+2*(315806.44*1.25))</f>
        <v>834345.79999999993</v>
      </c>
      <c r="L52" s="27">
        <f>66.91*250+(315806.44*1.25)</f>
        <v>411485.55</v>
      </c>
    </row>
    <row r="54" spans="2:12">
      <c r="B54" s="28" t="s">
        <v>249</v>
      </c>
      <c r="C54" s="6"/>
      <c r="D54" s="29"/>
    </row>
  </sheetData>
  <mergeCells count="45">
    <mergeCell ref="A1:M1"/>
    <mergeCell ref="A2:M2"/>
    <mergeCell ref="A9:M9"/>
    <mergeCell ref="A11:A13"/>
    <mergeCell ref="B11:B13"/>
    <mergeCell ref="C11:Q11"/>
    <mergeCell ref="C12:E12"/>
    <mergeCell ref="F12:H12"/>
    <mergeCell ref="I12:K12"/>
    <mergeCell ref="L12:N12"/>
    <mergeCell ref="O12:Q12"/>
    <mergeCell ref="A29:R29"/>
    <mergeCell ref="C45:C46"/>
    <mergeCell ref="F33:F34"/>
    <mergeCell ref="F35:F36"/>
    <mergeCell ref="F37:F38"/>
    <mergeCell ref="F39:F40"/>
    <mergeCell ref="B33:B36"/>
    <mergeCell ref="K30:L30"/>
    <mergeCell ref="B37:B40"/>
    <mergeCell ref="C37:C38"/>
    <mergeCell ref="C39:C40"/>
    <mergeCell ref="B41:B44"/>
    <mergeCell ref="C41:C42"/>
    <mergeCell ref="C43:C44"/>
    <mergeCell ref="B31:D31"/>
    <mergeCell ref="B30:D30"/>
    <mergeCell ref="A28:R28"/>
    <mergeCell ref="A3:R3"/>
    <mergeCell ref="A4:R4"/>
    <mergeCell ref="A8:R8"/>
    <mergeCell ref="R11:R12"/>
    <mergeCell ref="A5:R5"/>
    <mergeCell ref="A6:R6"/>
    <mergeCell ref="A7:R7"/>
    <mergeCell ref="E30:F30"/>
    <mergeCell ref="G30:H30"/>
    <mergeCell ref="I30:J30"/>
    <mergeCell ref="C33:C34"/>
    <mergeCell ref="C35:C36"/>
    <mergeCell ref="B49:B52"/>
    <mergeCell ref="C49:C50"/>
    <mergeCell ref="C51:C52"/>
    <mergeCell ref="B45:B48"/>
    <mergeCell ref="C47:C48"/>
  </mergeCells>
  <pageMargins left="0.7" right="0.7" top="0.75" bottom="0.75" header="0.3" footer="0.3"/>
  <pageSetup paperSize="9" scale="32" orientation="landscape" horizontalDpi="180" verticalDpi="180" r:id="rId1"/>
  <ignoredErrors>
    <ignoredError sqref="L52 L47 L48 L49 L50 L51 K47:K5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O66"/>
  <sheetViews>
    <sheetView view="pageBreakPreview" zoomScale="85" zoomScaleSheetLayoutView="85" workbookViewId="0">
      <selection activeCell="AD69" sqref="AD69"/>
    </sheetView>
  </sheetViews>
  <sheetFormatPr defaultColWidth="12.28515625" defaultRowHeight="15"/>
  <cols>
    <col min="1" max="1" width="5.85546875" style="5" customWidth="1"/>
    <col min="2" max="2" width="27" style="4" customWidth="1"/>
    <col min="3" max="3" width="17.28515625" style="4" customWidth="1"/>
    <col min="4" max="4" width="13.5703125" style="4" customWidth="1"/>
    <col min="5" max="5" width="12.28515625" style="4"/>
    <col min="6" max="6" width="9.42578125" style="4" customWidth="1"/>
    <col min="7" max="7" width="17" style="4" customWidth="1"/>
    <col min="8" max="8" width="13.5703125" style="4" customWidth="1"/>
    <col min="9" max="9" width="10" style="4" customWidth="1"/>
    <col min="10" max="10" width="12.140625" style="4" customWidth="1"/>
    <col min="11" max="11" width="14.140625" style="4" customWidth="1"/>
    <col min="12" max="12" width="9.140625" style="4" customWidth="1"/>
    <col min="13" max="13" width="9.5703125" style="4" customWidth="1"/>
    <col min="14" max="14" width="10.7109375" style="4" customWidth="1"/>
    <col min="15" max="16384" width="12.28515625" style="4"/>
  </cols>
  <sheetData>
    <row r="1" spans="1:17" ht="15.75">
      <c r="A1" s="132" t="s">
        <v>241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3" spans="1:17" s="15" customFormat="1" ht="51" customHeight="1">
      <c r="A3" s="117" t="s">
        <v>130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7" s="16" customFormat="1" ht="12.75">
      <c r="A4" s="129" t="s">
        <v>132</v>
      </c>
      <c r="B4" s="133" t="s">
        <v>60</v>
      </c>
      <c r="C4" s="133" t="s">
        <v>61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</row>
    <row r="5" spans="1:17" s="16" customFormat="1" ht="36" customHeight="1">
      <c r="A5" s="129"/>
      <c r="B5" s="133"/>
      <c r="C5" s="128" t="s">
        <v>62</v>
      </c>
      <c r="D5" s="128"/>
      <c r="E5" s="128"/>
      <c r="F5" s="128" t="s">
        <v>63</v>
      </c>
      <c r="G5" s="128"/>
      <c r="H5" s="128"/>
      <c r="I5" s="128" t="s">
        <v>64</v>
      </c>
      <c r="J5" s="128"/>
      <c r="K5" s="128"/>
      <c r="L5" s="128" t="s">
        <v>65</v>
      </c>
      <c r="M5" s="128"/>
      <c r="N5" s="128"/>
      <c r="O5" s="128" t="s">
        <v>66</v>
      </c>
      <c r="P5" s="128"/>
      <c r="Q5" s="128"/>
    </row>
    <row r="6" spans="1:17" s="16" customFormat="1" ht="51.75" customHeight="1">
      <c r="A6" s="129"/>
      <c r="B6" s="133"/>
      <c r="C6" s="13" t="s">
        <v>3</v>
      </c>
      <c r="D6" s="13" t="s">
        <v>131</v>
      </c>
      <c r="E6" s="13" t="s">
        <v>5</v>
      </c>
      <c r="F6" s="13" t="s">
        <v>3</v>
      </c>
      <c r="G6" s="13" t="s">
        <v>131</v>
      </c>
      <c r="H6" s="13" t="s">
        <v>5</v>
      </c>
      <c r="I6" s="13" t="s">
        <v>3</v>
      </c>
      <c r="J6" s="13" t="s">
        <v>131</v>
      </c>
      <c r="K6" s="13" t="s">
        <v>5</v>
      </c>
      <c r="L6" s="13" t="s">
        <v>3</v>
      </c>
      <c r="M6" s="13" t="s">
        <v>131</v>
      </c>
      <c r="N6" s="13" t="s">
        <v>5</v>
      </c>
      <c r="O6" s="13" t="s">
        <v>3</v>
      </c>
      <c r="P6" s="13" t="s">
        <v>131</v>
      </c>
      <c r="Q6" s="13" t="s">
        <v>5</v>
      </c>
    </row>
    <row r="7" spans="1:17" s="16" customFormat="1" ht="12.75">
      <c r="A7" s="17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</row>
    <row r="8" spans="1:17" s="16" customFormat="1" ht="25.5">
      <c r="A8" s="17">
        <v>1</v>
      </c>
      <c r="B8" s="18" t="s">
        <v>67</v>
      </c>
      <c r="C8" s="13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13">
        <v>1</v>
      </c>
      <c r="N8" s="13">
        <v>1</v>
      </c>
      <c r="O8" s="13">
        <v>0</v>
      </c>
      <c r="P8" s="32">
        <v>0</v>
      </c>
      <c r="Q8" s="32">
        <v>0</v>
      </c>
    </row>
    <row r="9" spans="1:17" s="15" customFormat="1" ht="25.5">
      <c r="A9" s="17" t="s">
        <v>133</v>
      </c>
      <c r="B9" s="19" t="s">
        <v>68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13">
        <v>1</v>
      </c>
      <c r="N9" s="13">
        <v>0</v>
      </c>
      <c r="O9" s="32">
        <v>0</v>
      </c>
      <c r="P9" s="32">
        <v>0</v>
      </c>
      <c r="Q9" s="32">
        <v>0</v>
      </c>
    </row>
    <row r="10" spans="1:17" s="15" customFormat="1" ht="38.25">
      <c r="A10" s="17" t="s">
        <v>134</v>
      </c>
      <c r="B10" s="19" t="s">
        <v>69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13">
        <v>0</v>
      </c>
      <c r="N10" s="32">
        <v>0</v>
      </c>
      <c r="O10" s="32">
        <v>0</v>
      </c>
      <c r="P10" s="32">
        <v>0</v>
      </c>
      <c r="Q10" s="32">
        <v>0</v>
      </c>
    </row>
    <row r="11" spans="1:17" s="15" customFormat="1" ht="25.5">
      <c r="A11" s="17" t="s">
        <v>135</v>
      </c>
      <c r="B11" s="19" t="s">
        <v>70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</row>
    <row r="12" spans="1:17" s="15" customFormat="1" ht="12.75">
      <c r="A12" s="17" t="s">
        <v>136</v>
      </c>
      <c r="B12" s="19" t="s">
        <v>71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</row>
    <row r="13" spans="1:17" s="15" customFormat="1" ht="25.5">
      <c r="A13" s="17" t="s">
        <v>137</v>
      </c>
      <c r="B13" s="19" t="s">
        <v>72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</row>
    <row r="14" spans="1:17" s="15" customFormat="1" ht="12.75">
      <c r="A14" s="17" t="s">
        <v>138</v>
      </c>
      <c r="B14" s="19" t="s">
        <v>73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</row>
    <row r="15" spans="1:17" s="15" customFormat="1" ht="12.75">
      <c r="A15" s="17" t="s">
        <v>139</v>
      </c>
      <c r="B15" s="19" t="s">
        <v>74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</row>
    <row r="16" spans="1:17" s="15" customFormat="1" ht="38.25">
      <c r="A16" s="17" t="s">
        <v>140</v>
      </c>
      <c r="B16" s="19" t="s">
        <v>75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</row>
    <row r="17" spans="1:17" s="15" customFormat="1" ht="25.5">
      <c r="A17" s="17" t="s">
        <v>141</v>
      </c>
      <c r="B17" s="19" t="s">
        <v>76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</row>
    <row r="18" spans="1:17" s="15" customFormat="1" ht="25.5">
      <c r="A18" s="17" t="s">
        <v>142</v>
      </c>
      <c r="B18" s="19" t="s">
        <v>77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</row>
    <row r="19" spans="1:17" s="15" customFormat="1" ht="38.25">
      <c r="A19" s="17" t="s">
        <v>143</v>
      </c>
      <c r="B19" s="19" t="s">
        <v>69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</row>
    <row r="20" spans="1:17" s="15" customFormat="1" ht="25.5">
      <c r="A20" s="17" t="s">
        <v>144</v>
      </c>
      <c r="B20" s="19" t="s">
        <v>70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</row>
    <row r="21" spans="1:17" s="15" customFormat="1" ht="12.75">
      <c r="A21" s="17" t="s">
        <v>145</v>
      </c>
      <c r="B21" s="19" t="s">
        <v>71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</row>
    <row r="22" spans="1:17" s="15" customFormat="1" ht="38.25">
      <c r="A22" s="17" t="s">
        <v>146</v>
      </c>
      <c r="B22" s="19" t="s">
        <v>78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</row>
    <row r="23" spans="1:17" s="15" customFormat="1" ht="12.75">
      <c r="A23" s="17" t="s">
        <v>147</v>
      </c>
      <c r="B23" s="19" t="s">
        <v>73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</row>
    <row r="24" spans="1:17" s="15" customFormat="1" ht="12.75">
      <c r="A24" s="17" t="s">
        <v>149</v>
      </c>
      <c r="B24" s="19" t="s">
        <v>148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</row>
    <row r="25" spans="1:17" s="15" customFormat="1" ht="25.5">
      <c r="A25" s="17" t="s">
        <v>150</v>
      </c>
      <c r="B25" s="19" t="s">
        <v>26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</row>
    <row r="26" spans="1:17" s="15" customFormat="1" ht="38.25">
      <c r="A26" s="17" t="s">
        <v>151</v>
      </c>
      <c r="B26" s="19" t="s">
        <v>79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</row>
    <row r="27" spans="1:17" s="15" customFormat="1" ht="25.5">
      <c r="A27" s="17" t="s">
        <v>152</v>
      </c>
      <c r="B27" s="19" t="s">
        <v>80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</row>
    <row r="28" spans="1:17" s="15" customFormat="1" ht="12.75">
      <c r="A28" s="17" t="s">
        <v>153</v>
      </c>
      <c r="B28" s="19" t="s">
        <v>73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</row>
    <row r="29" spans="1:17" s="15" customFormat="1" ht="12.75">
      <c r="A29" s="20"/>
    </row>
    <row r="30" spans="1:17" s="15" customFormat="1" ht="12.75">
      <c r="A30" s="117" t="s">
        <v>81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</row>
    <row r="31" spans="1:17" s="16" customFormat="1" ht="159" customHeight="1">
      <c r="A31" s="17" t="s">
        <v>132</v>
      </c>
      <c r="B31" s="13" t="s">
        <v>82</v>
      </c>
      <c r="C31" s="13" t="s">
        <v>83</v>
      </c>
      <c r="D31" s="13" t="s">
        <v>84</v>
      </c>
      <c r="E31" s="13" t="s">
        <v>85</v>
      </c>
      <c r="F31" s="13" t="s">
        <v>86</v>
      </c>
      <c r="G31" s="13" t="s">
        <v>87</v>
      </c>
      <c r="H31" s="13" t="s">
        <v>88</v>
      </c>
      <c r="I31" s="13" t="s">
        <v>89</v>
      </c>
      <c r="J31" s="13" t="s">
        <v>90</v>
      </c>
      <c r="K31" s="13" t="s">
        <v>91</v>
      </c>
    </row>
    <row r="32" spans="1:17" s="15" customFormat="1" ht="12.75">
      <c r="A32" s="21">
        <v>1</v>
      </c>
      <c r="B32" s="13">
        <v>2</v>
      </c>
      <c r="C32" s="21">
        <v>3</v>
      </c>
      <c r="D32" s="13">
        <v>4</v>
      </c>
      <c r="E32" s="21">
        <v>5</v>
      </c>
      <c r="F32" s="13">
        <v>6</v>
      </c>
      <c r="G32" s="21">
        <v>7</v>
      </c>
      <c r="H32" s="13">
        <v>8</v>
      </c>
      <c r="I32" s="21">
        <v>9</v>
      </c>
      <c r="J32" s="13">
        <v>10</v>
      </c>
      <c r="K32" s="21">
        <v>11</v>
      </c>
    </row>
    <row r="33" spans="1:17" s="15" customFormat="1" ht="98.25" customHeight="1">
      <c r="A33" s="17" t="s">
        <v>155</v>
      </c>
      <c r="B33" s="134" t="s">
        <v>157</v>
      </c>
      <c r="C33" s="19" t="s">
        <v>205</v>
      </c>
      <c r="D33" s="19" t="s">
        <v>158</v>
      </c>
      <c r="E33" s="19" t="s">
        <v>238</v>
      </c>
      <c r="F33" s="22" t="s">
        <v>204</v>
      </c>
      <c r="G33" s="134" t="s">
        <v>119</v>
      </c>
      <c r="H33" s="13" t="s">
        <v>154</v>
      </c>
      <c r="I33" s="13" t="s">
        <v>154</v>
      </c>
      <c r="J33" s="13" t="s">
        <v>154</v>
      </c>
      <c r="K33" s="13" t="s">
        <v>154</v>
      </c>
    </row>
    <row r="34" spans="1:17" s="15" customFormat="1" ht="183.75" customHeight="1">
      <c r="A34" s="17" t="s">
        <v>139</v>
      </c>
      <c r="B34" s="135"/>
      <c r="C34" s="19" t="s">
        <v>206</v>
      </c>
      <c r="D34" s="136" t="s">
        <v>239</v>
      </c>
      <c r="E34" s="136"/>
      <c r="F34" s="22" t="s">
        <v>120</v>
      </c>
      <c r="G34" s="135"/>
      <c r="H34" s="13" t="s">
        <v>154</v>
      </c>
      <c r="I34" s="13" t="s">
        <v>154</v>
      </c>
      <c r="J34" s="13" t="s">
        <v>154</v>
      </c>
      <c r="K34" s="13" t="s">
        <v>154</v>
      </c>
    </row>
    <row r="35" spans="1:17" s="15" customFormat="1" ht="12.75">
      <c r="A35" s="20"/>
    </row>
    <row r="36" spans="1:17" s="15" customFormat="1" ht="12.75">
      <c r="A36" s="117" t="s">
        <v>159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</row>
    <row r="37" spans="1:17" s="15" customFormat="1" ht="12.75">
      <c r="A37" s="20"/>
    </row>
    <row r="38" spans="1:17" s="15" customFormat="1" ht="12.75">
      <c r="A38" s="17" t="s">
        <v>132</v>
      </c>
      <c r="B38" s="13" t="s">
        <v>92</v>
      </c>
      <c r="C38" s="19"/>
      <c r="D38" s="19"/>
    </row>
    <row r="39" spans="1:17" s="15" customFormat="1" ht="89.25">
      <c r="A39" s="17" t="s">
        <v>155</v>
      </c>
      <c r="B39" s="19" t="s">
        <v>160</v>
      </c>
      <c r="C39" s="19" t="s">
        <v>93</v>
      </c>
      <c r="D39" s="13" t="s">
        <v>240</v>
      </c>
    </row>
    <row r="40" spans="1:17" s="15" customFormat="1" ht="51">
      <c r="A40" s="17" t="s">
        <v>139</v>
      </c>
      <c r="B40" s="19" t="s">
        <v>161</v>
      </c>
      <c r="C40" s="19" t="s">
        <v>94</v>
      </c>
      <c r="D40" s="13" t="s">
        <v>154</v>
      </c>
    </row>
    <row r="41" spans="1:17" s="15" customFormat="1" ht="51">
      <c r="A41" s="17" t="s">
        <v>140</v>
      </c>
      <c r="B41" s="19" t="s">
        <v>95</v>
      </c>
      <c r="C41" s="19" t="s">
        <v>94</v>
      </c>
      <c r="D41" s="13" t="s">
        <v>154</v>
      </c>
    </row>
    <row r="42" spans="1:17" s="15" customFormat="1" ht="63.75">
      <c r="A42" s="17" t="s">
        <v>143</v>
      </c>
      <c r="B42" s="19" t="s">
        <v>96</v>
      </c>
      <c r="C42" s="19" t="s">
        <v>94</v>
      </c>
      <c r="D42" s="13" t="s">
        <v>154</v>
      </c>
    </row>
    <row r="43" spans="1:17" s="15" customFormat="1" ht="63.75">
      <c r="A43" s="17" t="s">
        <v>149</v>
      </c>
      <c r="B43" s="19" t="s">
        <v>97</v>
      </c>
      <c r="C43" s="19" t="s">
        <v>162</v>
      </c>
      <c r="D43" s="13" t="s">
        <v>154</v>
      </c>
    </row>
    <row r="44" spans="1:17" s="15" customFormat="1" ht="63.75">
      <c r="A44" s="17" t="s">
        <v>156</v>
      </c>
      <c r="B44" s="19" t="s">
        <v>98</v>
      </c>
      <c r="C44" s="19" t="s">
        <v>162</v>
      </c>
      <c r="D44" s="13" t="s">
        <v>154</v>
      </c>
    </row>
    <row r="45" spans="1:17" s="15" customFormat="1" ht="12.75">
      <c r="A45" s="20"/>
    </row>
    <row r="46" spans="1:17" s="14" customFormat="1" ht="54" customHeight="1">
      <c r="A46" s="117" t="s">
        <v>163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</row>
    <row r="47" spans="1:17" s="15" customFormat="1" ht="15" customHeight="1">
      <c r="A47" s="117" t="s">
        <v>164</v>
      </c>
      <c r="B47" s="117"/>
      <c r="C47" s="117"/>
      <c r="D47" s="117"/>
      <c r="E47" s="117"/>
      <c r="F47" s="117"/>
      <c r="G47" s="117"/>
      <c r="H47" s="117"/>
      <c r="I47" s="117"/>
      <c r="J47" s="117"/>
    </row>
    <row r="48" spans="1:17" s="15" customFormat="1" ht="12.75">
      <c r="A48" s="20"/>
    </row>
    <row r="49" spans="1:41" s="15" customFormat="1" ht="12.75">
      <c r="A49" s="117" t="s">
        <v>165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</row>
    <row r="50" spans="1:41" s="15" customFormat="1" ht="38.25" customHeight="1">
      <c r="A50" s="117" t="s">
        <v>166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</row>
    <row r="51" spans="1:41" s="15" customFormat="1" ht="12.75">
      <c r="A51" s="120" t="s">
        <v>167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</row>
    <row r="52" spans="1:41" s="15" customFormat="1" ht="12.75">
      <c r="A52" s="20"/>
    </row>
    <row r="53" spans="1:41" s="15" customFormat="1" ht="35.25" customHeight="1">
      <c r="A53" s="130" t="s">
        <v>168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</row>
    <row r="54" spans="1:41" s="15" customFormat="1" ht="12.75">
      <c r="A54" s="131" t="s">
        <v>169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</row>
    <row r="55" spans="1:41" s="15" customFormat="1" ht="12.75">
      <c r="A55" s="20"/>
    </row>
    <row r="56" spans="1:41" s="15" customFormat="1" ht="12.75">
      <c r="A56" s="130" t="s">
        <v>170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</row>
    <row r="57" spans="1:41" s="15" customFormat="1" ht="12.75">
      <c r="A57" s="120" t="s">
        <v>171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</row>
    <row r="58" spans="1:41" s="15" customFormat="1" ht="12.75">
      <c r="A58" s="120" t="s">
        <v>172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</row>
    <row r="59" spans="1:41" s="15" customFormat="1" ht="12.75">
      <c r="A59" s="20"/>
    </row>
    <row r="60" spans="1:41" s="15" customFormat="1" ht="12.75">
      <c r="A60" s="117" t="s">
        <v>173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</row>
    <row r="61" spans="1:41" s="16" customFormat="1" ht="39.75" customHeight="1">
      <c r="A61" s="129" t="s">
        <v>132</v>
      </c>
      <c r="B61" s="128" t="s">
        <v>174</v>
      </c>
      <c r="C61" s="128" t="s">
        <v>175</v>
      </c>
      <c r="D61" s="128" t="s">
        <v>176</v>
      </c>
      <c r="E61" s="128" t="s">
        <v>177</v>
      </c>
      <c r="F61" s="128"/>
      <c r="G61" s="128"/>
      <c r="H61" s="128"/>
      <c r="I61" s="128" t="s">
        <v>182</v>
      </c>
      <c r="J61" s="128"/>
      <c r="K61" s="128"/>
      <c r="L61" s="128"/>
      <c r="M61" s="128"/>
      <c r="N61" s="128"/>
      <c r="O61" s="128" t="s">
        <v>188</v>
      </c>
      <c r="P61" s="128"/>
      <c r="Q61" s="128"/>
      <c r="R61" s="128"/>
      <c r="S61" s="128"/>
      <c r="T61" s="128"/>
      <c r="U61" s="128"/>
      <c r="V61" s="128" t="s">
        <v>192</v>
      </c>
      <c r="W61" s="128"/>
      <c r="X61" s="128"/>
      <c r="Y61" s="128"/>
      <c r="Z61" s="128" t="s">
        <v>196</v>
      </c>
      <c r="AA61" s="128"/>
      <c r="AB61" s="128"/>
      <c r="AC61" s="128" t="s">
        <v>200</v>
      </c>
      <c r="AD61" s="128"/>
    </row>
    <row r="62" spans="1:41" s="16" customFormat="1" ht="211.5" customHeight="1">
      <c r="A62" s="129"/>
      <c r="B62" s="128"/>
      <c r="C62" s="128"/>
      <c r="D62" s="128"/>
      <c r="E62" s="23" t="s">
        <v>178</v>
      </c>
      <c r="F62" s="23" t="s">
        <v>179</v>
      </c>
      <c r="G62" s="23" t="s">
        <v>180</v>
      </c>
      <c r="H62" s="23" t="s">
        <v>181</v>
      </c>
      <c r="I62" s="23" t="s">
        <v>183</v>
      </c>
      <c r="J62" s="23" t="s">
        <v>184</v>
      </c>
      <c r="K62" s="23" t="s">
        <v>185</v>
      </c>
      <c r="L62" s="23" t="s">
        <v>186</v>
      </c>
      <c r="M62" s="23" t="s">
        <v>187</v>
      </c>
      <c r="N62" s="23" t="s">
        <v>66</v>
      </c>
      <c r="O62" s="23" t="s">
        <v>189</v>
      </c>
      <c r="P62" s="23" t="s">
        <v>190</v>
      </c>
      <c r="Q62" s="23" t="s">
        <v>191</v>
      </c>
      <c r="R62" s="23" t="s">
        <v>185</v>
      </c>
      <c r="S62" s="23" t="s">
        <v>186</v>
      </c>
      <c r="T62" s="23" t="s">
        <v>187</v>
      </c>
      <c r="U62" s="23" t="s">
        <v>66</v>
      </c>
      <c r="V62" s="23" t="s">
        <v>193</v>
      </c>
      <c r="W62" s="23" t="s">
        <v>194</v>
      </c>
      <c r="X62" s="23" t="s">
        <v>195</v>
      </c>
      <c r="Y62" s="23" t="s">
        <v>66</v>
      </c>
      <c r="Z62" s="23" t="s">
        <v>197</v>
      </c>
      <c r="AA62" s="23" t="s">
        <v>198</v>
      </c>
      <c r="AB62" s="23" t="s">
        <v>199</v>
      </c>
      <c r="AC62" s="23" t="s">
        <v>201</v>
      </c>
      <c r="AD62" s="23" t="s">
        <v>202</v>
      </c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</row>
    <row r="63" spans="1:41" s="15" customFormat="1" ht="12.75">
      <c r="A63" s="21">
        <v>1</v>
      </c>
      <c r="B63" s="13">
        <v>2</v>
      </c>
      <c r="C63" s="21">
        <v>3</v>
      </c>
      <c r="D63" s="13">
        <v>4</v>
      </c>
      <c r="E63" s="21">
        <v>5</v>
      </c>
      <c r="F63" s="13">
        <v>6</v>
      </c>
      <c r="G63" s="21">
        <v>7</v>
      </c>
      <c r="H63" s="13">
        <v>8</v>
      </c>
      <c r="I63" s="21">
        <v>9</v>
      </c>
      <c r="J63" s="13">
        <v>10</v>
      </c>
      <c r="K63" s="21">
        <v>11</v>
      </c>
      <c r="L63" s="13">
        <v>12</v>
      </c>
      <c r="M63" s="21">
        <v>13</v>
      </c>
      <c r="N63" s="13">
        <v>14</v>
      </c>
      <c r="O63" s="21">
        <v>15</v>
      </c>
      <c r="P63" s="13">
        <v>16</v>
      </c>
      <c r="Q63" s="21">
        <v>17</v>
      </c>
      <c r="R63" s="13">
        <v>18</v>
      </c>
      <c r="S63" s="21">
        <v>19</v>
      </c>
      <c r="T63" s="13">
        <v>20</v>
      </c>
      <c r="U63" s="21">
        <v>21</v>
      </c>
      <c r="V63" s="13">
        <v>22</v>
      </c>
      <c r="W63" s="21">
        <v>23</v>
      </c>
      <c r="X63" s="13">
        <v>24</v>
      </c>
      <c r="Y63" s="21">
        <v>25</v>
      </c>
      <c r="Z63" s="13">
        <v>26</v>
      </c>
      <c r="AA63" s="21">
        <v>27</v>
      </c>
      <c r="AB63" s="13">
        <v>28</v>
      </c>
      <c r="AC63" s="21">
        <v>29</v>
      </c>
      <c r="AD63" s="13">
        <v>30</v>
      </c>
    </row>
    <row r="64" spans="1:41" s="15" customFormat="1" ht="25.5">
      <c r="A64" s="33" t="s">
        <v>155</v>
      </c>
      <c r="B64" s="33" t="s">
        <v>255</v>
      </c>
      <c r="C64" s="33" t="s">
        <v>256</v>
      </c>
      <c r="D64" s="33" t="s">
        <v>257</v>
      </c>
      <c r="E64" s="17" t="s">
        <v>154</v>
      </c>
      <c r="F64" s="17" t="s">
        <v>154</v>
      </c>
      <c r="G64" s="17" t="s">
        <v>154</v>
      </c>
      <c r="H64" s="33" t="s">
        <v>258</v>
      </c>
      <c r="I64" s="17" t="s">
        <v>154</v>
      </c>
      <c r="J64" s="17" t="s">
        <v>154</v>
      </c>
      <c r="K64" s="17" t="s">
        <v>154</v>
      </c>
      <c r="L64" s="17" t="s">
        <v>154</v>
      </c>
      <c r="M64" s="17" t="s">
        <v>154</v>
      </c>
      <c r="N64" s="33" t="s">
        <v>258</v>
      </c>
      <c r="O64" s="17" t="s">
        <v>154</v>
      </c>
      <c r="P64" s="17" t="s">
        <v>154</v>
      </c>
      <c r="Q64" s="17" t="s">
        <v>154</v>
      </c>
      <c r="R64" s="17" t="s">
        <v>154</v>
      </c>
      <c r="S64" s="17" t="s">
        <v>154</v>
      </c>
      <c r="T64" s="17" t="s">
        <v>154</v>
      </c>
      <c r="U64" s="17" t="s">
        <v>154</v>
      </c>
      <c r="V64" s="17" t="s">
        <v>154</v>
      </c>
      <c r="W64" s="17" t="s">
        <v>154</v>
      </c>
      <c r="X64" s="17" t="s">
        <v>154</v>
      </c>
      <c r="Y64" s="17" t="s">
        <v>154</v>
      </c>
      <c r="Z64" s="33" t="s">
        <v>258</v>
      </c>
      <c r="AA64" s="17" t="s">
        <v>154</v>
      </c>
      <c r="AB64" s="17" t="s">
        <v>154</v>
      </c>
      <c r="AC64" s="17" t="s">
        <v>154</v>
      </c>
      <c r="AD64" s="17" t="s">
        <v>154</v>
      </c>
    </row>
    <row r="65" spans="1:12" s="15" customFormat="1" ht="12.75">
      <c r="A65" s="20"/>
    </row>
    <row r="66" spans="1:12" s="15" customFormat="1" ht="12.75">
      <c r="A66" s="127" t="s">
        <v>203</v>
      </c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</row>
  </sheetData>
  <mergeCells count="37">
    <mergeCell ref="A30:Q30"/>
    <mergeCell ref="A36:Q36"/>
    <mergeCell ref="A46:O46"/>
    <mergeCell ref="A1:Q1"/>
    <mergeCell ref="A3:Q3"/>
    <mergeCell ref="C4:Q4"/>
    <mergeCell ref="C5:E5"/>
    <mergeCell ref="F5:H5"/>
    <mergeCell ref="I5:K5"/>
    <mergeCell ref="L5:N5"/>
    <mergeCell ref="O5:Q5"/>
    <mergeCell ref="B4:B6"/>
    <mergeCell ref="A4:A6"/>
    <mergeCell ref="B33:B34"/>
    <mergeCell ref="G33:G34"/>
    <mergeCell ref="D34:E34"/>
    <mergeCell ref="A56:O56"/>
    <mergeCell ref="A47:J47"/>
    <mergeCell ref="A57:O57"/>
    <mergeCell ref="A58:O58"/>
    <mergeCell ref="A60:Q60"/>
    <mergeCell ref="A49:O49"/>
    <mergeCell ref="A50:O50"/>
    <mergeCell ref="A51:O51"/>
    <mergeCell ref="A53:O53"/>
    <mergeCell ref="A54:O54"/>
    <mergeCell ref="AC61:AD61"/>
    <mergeCell ref="E61:H61"/>
    <mergeCell ref="A61:A62"/>
    <mergeCell ref="B61:B62"/>
    <mergeCell ref="C61:C62"/>
    <mergeCell ref="D61:D62"/>
    <mergeCell ref="A66:L66"/>
    <mergeCell ref="I61:N61"/>
    <mergeCell ref="O61:U61"/>
    <mergeCell ref="V61:Y61"/>
    <mergeCell ref="Z61:AB61"/>
  </mergeCells>
  <pageMargins left="0.7" right="0.7" top="0.75" bottom="0.75" header="0.3" footer="0.3"/>
  <pageSetup paperSize="9" scale="34" orientation="landscape" r:id="rId1"/>
  <rowBreaks count="1" manualBreakCount="1">
    <brk id="35" max="16383" man="1"/>
  </rowBreaks>
  <ignoredErrors>
    <ignoredError sqref="A15 A24 A33 A43:A44" numberStoredAsText="1"/>
    <ignoredError sqref="A17:A1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1 Общ. инфор.</vt:lpstr>
      <vt:lpstr>2 Показат. кач. передача</vt:lpstr>
      <vt:lpstr>3 Показатели кач. тех. прис.</vt:lpstr>
      <vt:lpstr>4 Качество обслуживания</vt:lpstr>
      <vt:lpstr>'1 Общ. инфор.'!Область_печати</vt:lpstr>
      <vt:lpstr>'2 Показат. кач. передача'!Область_печати</vt:lpstr>
      <vt:lpstr>'3 Показатели кач. тех. прис.'!Область_печати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2017-04-02T10:53:00Z</dcterms:modified>
</cp:coreProperties>
</file>