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86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0">'1 Общ. инфор.'!$A$1:$N$34</definedName>
    <definedName name="_xlnm.Print_Area" localSheetId="1">'2 Показат. кач. передача'!$A$1:$T$49</definedName>
    <definedName name="_xlnm.Print_Area" localSheetId="2">'3 Показатели кач. тех. прис.'!$A$1:$R$55</definedName>
  </definedNames>
  <calcPr calcId="124519"/>
</workbook>
</file>

<file path=xl/calcChain.xml><?xml version="1.0" encoding="utf-8"?>
<calcChain xmlns="http://schemas.openxmlformats.org/spreadsheetml/2006/main">
  <c r="L52" i="3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F52"/>
  <c r="F51"/>
  <c r="F50"/>
  <c r="F49"/>
  <c r="F48"/>
  <c r="F47"/>
  <c r="F46"/>
  <c r="F45"/>
  <c r="F44"/>
  <c r="F43"/>
  <c r="F42"/>
  <c r="F41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D18" i="1"/>
  <c r="D17"/>
  <c r="C12"/>
  <c r="C11"/>
  <c r="S41"/>
  <c r="R41"/>
  <c r="Q41"/>
  <c r="P41"/>
  <c r="O41"/>
  <c r="L41"/>
  <c r="K41"/>
  <c r="H41"/>
  <c r="G41"/>
  <c r="D41"/>
  <c r="C41"/>
  <c r="N40"/>
  <c r="N41" s="1"/>
  <c r="M40"/>
  <c r="M41" s="1"/>
  <c r="J40"/>
  <c r="J41" s="1"/>
  <c r="I40"/>
  <c r="I41" s="1"/>
  <c r="E40"/>
  <c r="E41" s="1"/>
  <c r="E19"/>
  <c r="E24" s="1"/>
  <c r="E13"/>
  <c r="E17" s="1"/>
  <c r="D12"/>
  <c r="F40" s="1"/>
  <c r="F41" s="1"/>
  <c r="D11"/>
  <c r="E7"/>
  <c r="E12" s="1"/>
  <c r="E23" l="1"/>
  <c r="E18"/>
  <c r="E11"/>
  <c r="R16" i="3"/>
  <c r="R17"/>
  <c r="R18"/>
  <c r="R19"/>
  <c r="R20"/>
  <c r="R21"/>
  <c r="R22"/>
  <c r="R23"/>
  <c r="R24"/>
  <c r="R25"/>
  <c r="R26"/>
  <c r="R15"/>
  <c r="H16"/>
  <c r="H20"/>
  <c r="H21"/>
  <c r="H22"/>
  <c r="H26"/>
  <c r="H15"/>
  <c r="E16"/>
  <c r="E20"/>
  <c r="E21"/>
  <c r="E22"/>
  <c r="E26"/>
  <c r="E15"/>
  <c r="F8" i="8" l="1"/>
</calcChain>
</file>

<file path=xl/sharedStrings.xml><?xml version="1.0" encoding="utf-8"?>
<sst xmlns="http://schemas.openxmlformats.org/spreadsheetml/2006/main" count="525" uniqueCount="271">
  <si>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</si>
  <si>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</si>
  <si>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</si>
  <si>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</si>
  <si>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</si>
  <si>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</si>
  <si>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</si>
  <si>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</si>
  <si>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</si>
  <si>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</si>
  <si>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</si>
  <si>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</si>
  <si>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</si>
  <si>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</si>
  <si>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</si>
  <si>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</si>
  <si>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</si>
  <si>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</si>
  <si>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</si>
  <si>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</si>
  <si>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</si>
  <si>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</si>
  <si>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</si>
  <si>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</si>
  <si>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</si>
  <si>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</si>
  <si>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</si>
  <si>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</si>
  <si>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</si>
  <si>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</si>
  <si>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</si>
  <si>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</si>
  <si>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</si>
  <si>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</si>
  <si>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</si>
  <si>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</si>
  <si>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</si>
  <si>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</si>
  <si>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</si>
  <si>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</si>
  <si>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</si>
  <si>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</si>
  <si>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</si>
  <si>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</si>
  <si>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</si>
  <si>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</si>
  <si>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</si>
  <si>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</si>
  <si>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</si>
  <si>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</si>
  <si>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</si>
  <si>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</si>
  <si>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</si>
  <si>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</si>
  <si>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</si>
  <si>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</si>
  <si>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</si>
  <si>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</si>
  <si>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</si>
  <si>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</si>
  <si>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</si>
  <si>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</si>
  <si>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</si>
  <si>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</si>
  <si>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</si>
  <si>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</si>
  <si>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</si>
  <si>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</si>
  <si>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</si>
  <si>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</si>
  <si>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</si>
  <si>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</si>
  <si>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</si>
  <si>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</si>
  <si>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</si>
  <si>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</si>
  <si>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</si>
  <si>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</si>
  <si>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</si>
  <si>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</si>
  <si>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</si>
  <si>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</si>
  <si>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</si>
  <si>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</si>
  <si>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</si>
  <si>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</si>
  <si>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</si>
  <si>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</si>
  <si>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</si>
  <si>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</si>
  <si>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</si>
  <si>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</si>
  <si>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</si>
  <si>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</si>
  <si>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</si>
  <si>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</si>
  <si>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</si>
  <si>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</si>
  <si>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</si>
  <si>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</si>
  <si>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</si>
  <si>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</si>
  <si>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</si>
  <si>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</si>
  <si>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</si>
  <si>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</si>
  <si>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</si>
  <si>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</si>
  <si>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</si>
  <si>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</si>
  <si>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</si>
  <si>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</si>
  <si>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</si>
  <si>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</si>
  <si>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</si>
  <si>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</si>
  <si>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</si>
  <si>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</si>
  <si>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</si>
  <si>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</si>
  <si>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</si>
  <si>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</si>
  <si>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</si>
  <si>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</si>
  <si>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</si>
  <si>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</si>
  <si>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</si>
  <si>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</si>
  <si>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</si>
  <si>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</si>
  <si>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</si>
  <si>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</si>
  <si>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</si>
  <si>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</si>
  <si>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</si>
  <si>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</si>
  <si>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</si>
  <si>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</si>
  <si>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</si>
  <si>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</si>
  <si>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</si>
  <si>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</si>
  <si>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</si>
  <si>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</si>
  <si>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</si>
  <si>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</si>
  <si>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</si>
  <si>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</si>
  <si>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</si>
  <si>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</si>
  <si>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</si>
  <si>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</si>
  <si>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</si>
  <si>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</si>
  <si>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</si>
  <si>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</si>
  <si>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</si>
  <si>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</si>
  <si>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</si>
  <si>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</si>
  <si>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</si>
  <si>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</si>
  <si>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</si>
  <si>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</si>
  <si>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</si>
  <si>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</si>
  <si>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</si>
  <si>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</si>
  <si>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</si>
  <si>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</si>
  <si>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</si>
  <si>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</si>
  <si>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</si>
  <si>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</si>
  <si>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</si>
  <si>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</si>
  <si>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</si>
  <si>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</si>
  <si>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</si>
  <si>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</si>
  <si>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</si>
  <si>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</si>
  <si>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</si>
  <si>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</si>
  <si>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</si>
  <si>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</si>
  <si>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</si>
  <si>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</si>
  <si>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</si>
  <si>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</si>
  <si>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</si>
  <si>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</si>
  <si>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</si>
  <si>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</si>
  <si>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</si>
  <si>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</si>
  <si>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</si>
  <si>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</si>
  <si>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</si>
  <si>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</si>
  <si>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</si>
  <si>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</si>
  <si>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</si>
  <si>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* - обращений не поступало</t>
  </si>
  <si>
    <t>9:00 - 16:40</t>
  </si>
  <si>
    <t>очный</t>
  </si>
  <si>
    <t>заочный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</si>
  <si>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</si>
  <si>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ЮЛ </t>
  </si>
  <si>
    <t>Тип потребителя</t>
  </si>
  <si>
    <t>5</t>
  </si>
  <si>
    <t>6</t>
  </si>
  <si>
    <t>ФЛ (население)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</si>
  <si>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</si>
  <si>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</si>
  <si>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</si>
  <si>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</si>
  <si>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</si>
  <si>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</si>
  <si>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</si>
  <si>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ФЛ (население чжд)</t>
  </si>
  <si>
    <t>К-во ТП</t>
  </si>
  <si>
    <t>Протяженность ВЛ</t>
  </si>
  <si>
    <t>Протяженность КЛ</t>
  </si>
  <si>
    <t xml:space="preserve"> -0,4кВ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</si>
  <si>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</si>
  <si>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</si>
  <si>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</si>
  <si>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</si>
  <si>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</si>
  <si>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</si>
  <si>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</si>
  <si>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</si>
  <si>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1. Общая информация о сетевой организации ООО "Гранат"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</si>
  <si>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</si>
  <si>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ООО "Гранат"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</si>
  <si>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ООО "Гранат" инвестиционной программы, утвержденной РЭК Омской области.</t>
    </r>
  </si>
  <si>
    <t>98-53-87; granat2112@mail.ru</t>
  </si>
  <si>
    <t>http://tso-granat.ru/centr-obsluzhivaniya-klientov/okno-podachi-zayavok-na-texnologicheskoe-prisoedinenie/</t>
  </si>
  <si>
    <t>98-53-87</t>
  </si>
  <si>
    <t>4. Качество обслуживания потребителей ООО "Гранат"</t>
  </si>
  <si>
    <t>ТП/РП</t>
  </si>
  <si>
    <t>61%</t>
  </si>
  <si>
    <t>КЛ/ВЛ</t>
  </si>
  <si>
    <t>ЮЛ, ИП</t>
  </si>
  <si>
    <t>ЮЛ, ИП, ФЛ-льготники (СНТ, ГСК, церкви, объединения гаражей, сараев и т.д.)</t>
  </si>
  <si>
    <t>300 - городская местность</t>
  </si>
  <si>
    <t>500 - сельская местность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</si>
  <si>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</si>
  <si>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40</t>
  </si>
  <si>
    <t>ООО "Гранат"</t>
  </si>
  <si>
    <t>2016 год (факт)</t>
  </si>
  <si>
    <t>Исх. №125</t>
  </si>
  <si>
    <t>08.12.2016</t>
  </si>
  <si>
    <t>не зафиксировано</t>
  </si>
  <si>
    <t xml:space="preserve"> +</t>
  </si>
  <si>
    <t>0,745</t>
  </si>
  <si>
    <t>3,86</t>
  </si>
  <si>
    <t>63%</t>
  </si>
  <si>
    <t>2017, 2018 год (прогноз)</t>
  </si>
  <si>
    <t>7</t>
  </si>
  <si>
    <t>8</t>
  </si>
  <si>
    <t>9</t>
  </si>
  <si>
    <t>10</t>
  </si>
  <si>
    <t>2017, 2018 гг. (прогноз)</t>
  </si>
  <si>
    <t>39%</t>
  </si>
  <si>
    <t>65%</t>
  </si>
  <si>
    <t>35%</t>
  </si>
  <si>
    <t>68%</t>
  </si>
  <si>
    <t xml:space="preserve">2. Информация о качестве услуг по передаче электрической энергии по сетям сетевой организации ООО "Гранат" </t>
  </si>
  <si>
    <t>1. Стоимость услуг тех. присоединения к сетям ООО "Гранат" определяется согласно стандартизированным тарифным ставкам, установленными в редакции приказа РЭК Омской области №659/74 от 27.12.2016г. Расчет окончательной стоимости определяется по формулам, указанным в Приложении №4 настоящего приказа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</si>
</sst>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180" wrapText="1"/>
    </xf>
    <xf numFmtId="2" fontId="2" fillId="0" borderId="0" xfId="0" applyNumberFormat="1" applyFont="1" applyAlignment="1">
      <alignment horizontal="center" vertical="center" textRotation="180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49" fontId="7" fillId="0" borderId="0" xfId="0" applyNumberFormat="1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4" xfId="0" applyNumberFormat="1" applyFont="1" applyFill="1" applyBorder="1"/>
    <xf numFmtId="1" fontId="1" fillId="0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9" fontId="1" fillId="0" borderId="1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2" fillId="0" borderId="1" xfId="0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17" xfId="0" applyBorder="1"/>
    <xf numFmtId="3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" fontId="2" fillId="0" borderId="0" xfId="0" applyNumberFormat="1" applyFont="1" applyAlignment="1">
      <alignment horizontal="left" vertical="center" wrapText="1"/>
    </xf>
    <xf numFmtId="16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32" name="Picture 8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811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031" name="Picture 7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924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030" name="Picture 6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71487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029" name="Picture 5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5151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" name="Picture 8">
          <a:extLst>
            <a:ext uri="{FF2B5EF4-FFF2-40B4-BE49-F238E27FC236}">
              <a16:creationId xmlns="" xmlns:a16="http://schemas.microsoft.com/office/drawing/2014/main" id="{109060C3-3616-49F2-8FF8-A9606381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430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1" name="Picture 7">
          <a:extLst>
            <a:ext uri="{FF2B5EF4-FFF2-40B4-BE49-F238E27FC236}">
              <a16:creationId xmlns="" xmlns:a16="http://schemas.microsoft.com/office/drawing/2014/main" id="{EBBBBB41-F918-4C73-A1FF-A46B5B35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83845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2" name="Picture 6">
          <a:extLst>
            <a:ext uri="{FF2B5EF4-FFF2-40B4-BE49-F238E27FC236}">
              <a16:creationId xmlns="" xmlns:a16="http://schemas.microsoft.com/office/drawing/2014/main" id="{E6E5173C-835C-407F-80FA-129E2089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58152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3" name="Picture 5">
          <a:extLst>
            <a:ext uri="{FF2B5EF4-FFF2-40B4-BE49-F238E27FC236}">
              <a16:creationId xmlns="" xmlns:a16="http://schemas.microsoft.com/office/drawing/2014/main" id="{B4FDF90A-628E-4C6E-8883-CA7A0DB9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33412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14" name="Picture 12">
          <a:extLst>
            <a:ext uri="{FF2B5EF4-FFF2-40B4-BE49-F238E27FC236}">
              <a16:creationId xmlns="" xmlns:a16="http://schemas.microsoft.com/office/drawing/2014/main" id="{AE248C5B-C56D-4BDE-8B17-003E93B6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429875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15" name="Picture 11">
          <a:extLst>
            <a:ext uri="{FF2B5EF4-FFF2-40B4-BE49-F238E27FC236}">
              <a16:creationId xmlns="" xmlns:a16="http://schemas.microsoft.com/office/drawing/2014/main" id="{87A6C7C2-C60A-4D36-9656-651F7D2D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045845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16" name="Picture 10">
          <a:extLst>
            <a:ext uri="{FF2B5EF4-FFF2-40B4-BE49-F238E27FC236}">
              <a16:creationId xmlns="" xmlns:a16="http://schemas.microsoft.com/office/drawing/2014/main" id="{E87EBF0E-D62F-4C30-A75A-15F74BDF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054417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17" name="Picture 9">
          <a:extLst>
            <a:ext uri="{FF2B5EF4-FFF2-40B4-BE49-F238E27FC236}">
              <a16:creationId xmlns="" xmlns:a16="http://schemas.microsoft.com/office/drawing/2014/main" id="{EFFE2B61-7211-432E-A359-1C1C758D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0572750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view="pageBreakPreview" zoomScale="85" zoomScaleSheetLayoutView="85" workbookViewId="0">
      <selection activeCell="J31" sqref="J31"/>
    </sheetView>
  </sheetViews>
  <sheetFormatPr defaultRowHeight="15"/>
  <cols>
    <col min="1" max="1" width="19" style="54" customWidth="1"/>
    <col min="2" max="2" width="15.42578125" style="54" customWidth="1"/>
    <col min="3" max="3" width="12.140625" style="54" customWidth="1"/>
    <col min="4" max="4" width="13.85546875" style="54" customWidth="1"/>
    <col min="5" max="5" width="13.28515625" style="34" customWidth="1"/>
    <col min="6" max="6" width="13.85546875" style="34" customWidth="1"/>
    <col min="7" max="7" width="13.140625" style="34" customWidth="1"/>
    <col min="8" max="8" width="11.7109375" style="34" customWidth="1"/>
    <col min="9" max="9" width="12.5703125" style="34" customWidth="1"/>
    <col min="10" max="10" width="12.85546875" style="34" customWidth="1"/>
    <col min="11" max="11" width="11.5703125" style="34" customWidth="1"/>
    <col min="12" max="12" width="12.5703125" style="34" customWidth="1"/>
    <col min="13" max="13" width="14.42578125" style="34" customWidth="1"/>
    <col min="14" max="14" width="11.5703125" style="34" customWidth="1"/>
    <col min="15" max="15" width="12.5703125" style="34" customWidth="1"/>
    <col min="16" max="16384" width="9.140625" style="34"/>
  </cols>
  <sheetData>
    <row r="1" spans="1:24" ht="15.75">
      <c r="A1" s="103" t="s">
        <v>233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3" spans="1:24" s="36" customFormat="1" ht="45.75" customHeight="1" thickBot="1">
      <c r="A3" s="93" t="s">
        <v>207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>
      <c r="A4" s="107" t="s">
        <v>209</v>
      </c>
      <c r="B4" s="100" t="s">
        <v>50</v>
      </c>
      <c r="C4" s="104" t="s">
        <v>251</v>
      </c>
      <c r="D4" s="105"/>
      <c r="E4" s="105"/>
      <c r="F4" s="106"/>
      <c r="G4" s="104" t="s">
        <v>259</v>
      </c>
      <c r="H4" s="105"/>
      <c r="I4" s="105"/>
      <c r="J4" s="106"/>
    </row>
    <row r="5" spans="1:24" s="41" customFormat="1">
      <c r="A5" s="107"/>
      <c r="B5" s="100"/>
      <c r="C5" s="37" t="s">
        <v>19</v>
      </c>
      <c r="D5" s="38" t="s">
        <v>20</v>
      </c>
      <c r="E5" s="39" t="s">
        <v>21</v>
      </c>
      <c r="F5" s="40" t="s">
        <v>22</v>
      </c>
      <c r="G5" s="37" t="s">
        <v>19</v>
      </c>
      <c r="H5" s="38" t="s">
        <v>20</v>
      </c>
      <c r="I5" s="39" t="s">
        <v>21</v>
      </c>
      <c r="J5" s="40" t="s">
        <v>22</v>
      </c>
    </row>
    <row r="6" spans="1:24" s="41" customFormat="1">
      <c r="A6" s="42" t="s">
        <v>155</v>
      </c>
      <c r="B6" s="43" t="s">
        <v>139</v>
      </c>
      <c r="C6" s="44" t="s">
        <v>149</v>
      </c>
      <c r="D6" s="42" t="s">
        <v>156</v>
      </c>
      <c r="E6" s="42" t="s">
        <v>210</v>
      </c>
      <c r="F6" s="45" t="s">
        <v>211</v>
      </c>
      <c r="G6" s="44" t="s">
        <v>260</v>
      </c>
      <c r="H6" s="42" t="s">
        <v>261</v>
      </c>
      <c r="I6" s="42" t="s">
        <v>262</v>
      </c>
      <c r="J6" s="45" t="s">
        <v>263</v>
      </c>
    </row>
    <row r="7" spans="1:24">
      <c r="A7" s="46" t="s">
        <v>208</v>
      </c>
      <c r="B7" s="47" t="s">
        <v>52</v>
      </c>
      <c r="C7" s="48" t="s">
        <v>154</v>
      </c>
      <c r="D7" s="49" t="s">
        <v>154</v>
      </c>
      <c r="E7" s="39">
        <v>39</v>
      </c>
      <c r="F7" s="40">
        <v>4</v>
      </c>
      <c r="G7" s="87" t="s">
        <v>154</v>
      </c>
      <c r="H7" s="88" t="s">
        <v>154</v>
      </c>
      <c r="I7" s="39">
        <v>43</v>
      </c>
      <c r="J7" s="40">
        <v>4</v>
      </c>
    </row>
    <row r="8" spans="1:24" ht="15.75" thickBot="1">
      <c r="A8" s="46" t="s">
        <v>212</v>
      </c>
      <c r="B8" s="47" t="s">
        <v>52</v>
      </c>
      <c r="C8" s="50" t="s">
        <v>154</v>
      </c>
      <c r="D8" s="51" t="s">
        <v>154</v>
      </c>
      <c r="E8" s="51" t="s">
        <v>155</v>
      </c>
      <c r="F8" s="52">
        <f>1+40</f>
        <v>41</v>
      </c>
      <c r="G8" s="50" t="s">
        <v>154</v>
      </c>
      <c r="H8" s="51" t="s">
        <v>154</v>
      </c>
      <c r="I8" s="51" t="s">
        <v>155</v>
      </c>
      <c r="J8" s="52">
        <v>45</v>
      </c>
    </row>
    <row r="9" spans="1:24">
      <c r="A9" s="53"/>
    </row>
    <row r="11" spans="1:24" s="55" customFormat="1" ht="60" customHeight="1" thickBot="1">
      <c r="A11" s="93" t="s">
        <v>213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24" s="59" customFormat="1" ht="60">
      <c r="A12" s="108" t="s">
        <v>209</v>
      </c>
      <c r="B12" s="56" t="s">
        <v>214</v>
      </c>
      <c r="C12" s="57" t="s">
        <v>215</v>
      </c>
      <c r="D12" s="85" t="s">
        <v>214</v>
      </c>
      <c r="E12" s="86" t="s">
        <v>215</v>
      </c>
      <c r="F12" s="58"/>
      <c r="G12" s="58"/>
      <c r="H12" s="58"/>
      <c r="I12" s="58"/>
      <c r="J12" s="58"/>
    </row>
    <row r="13" spans="1:24" s="59" customFormat="1" ht="15" customHeight="1">
      <c r="A13" s="109"/>
      <c r="B13" s="110" t="s">
        <v>251</v>
      </c>
      <c r="C13" s="111"/>
      <c r="D13" s="110" t="s">
        <v>264</v>
      </c>
      <c r="E13" s="111"/>
      <c r="F13" s="58"/>
      <c r="G13" s="58"/>
      <c r="H13" s="58"/>
      <c r="I13" s="58"/>
      <c r="J13" s="58"/>
    </row>
    <row r="14" spans="1:24" s="59" customFormat="1">
      <c r="A14" s="43" t="s">
        <v>155</v>
      </c>
      <c r="B14" s="44" t="s">
        <v>139</v>
      </c>
      <c r="C14" s="45" t="s">
        <v>149</v>
      </c>
      <c r="D14" s="44" t="s">
        <v>156</v>
      </c>
      <c r="E14" s="45" t="s">
        <v>210</v>
      </c>
      <c r="F14" s="58"/>
      <c r="G14" s="58"/>
      <c r="H14" s="58"/>
      <c r="I14" s="58"/>
      <c r="J14" s="58"/>
    </row>
    <row r="15" spans="1:24">
      <c r="A15" s="60" t="s">
        <v>208</v>
      </c>
      <c r="B15" s="61">
        <v>77</v>
      </c>
      <c r="C15" s="62">
        <v>77</v>
      </c>
      <c r="D15" s="61">
        <v>105</v>
      </c>
      <c r="E15" s="62">
        <v>105</v>
      </c>
    </row>
    <row r="16" spans="1:24">
      <c r="A16" s="60" t="s">
        <v>220</v>
      </c>
      <c r="B16" s="61" t="s">
        <v>249</v>
      </c>
      <c r="C16" s="62" t="s">
        <v>249</v>
      </c>
      <c r="D16" s="61">
        <v>46</v>
      </c>
      <c r="E16" s="62">
        <v>46</v>
      </c>
    </row>
    <row r="17" spans="1:14">
      <c r="A17" s="60" t="s">
        <v>216</v>
      </c>
      <c r="B17" s="61">
        <v>6</v>
      </c>
      <c r="C17" s="62">
        <v>6</v>
      </c>
      <c r="D17" s="61">
        <v>7</v>
      </c>
      <c r="E17" s="62">
        <v>7</v>
      </c>
    </row>
    <row r="18" spans="1:14">
      <c r="A18" s="60" t="s">
        <v>217</v>
      </c>
      <c r="B18" s="48" t="s">
        <v>154</v>
      </c>
      <c r="C18" s="63" t="s">
        <v>154</v>
      </c>
      <c r="D18" s="87" t="s">
        <v>154</v>
      </c>
      <c r="E18" s="89" t="s">
        <v>154</v>
      </c>
    </row>
    <row r="19" spans="1:14" ht="15.75" thickBot="1">
      <c r="A19" s="60" t="s">
        <v>218</v>
      </c>
      <c r="B19" s="50" t="s">
        <v>154</v>
      </c>
      <c r="C19" s="64" t="s">
        <v>154</v>
      </c>
      <c r="D19" s="50" t="s">
        <v>154</v>
      </c>
      <c r="E19" s="64" t="s">
        <v>154</v>
      </c>
    </row>
    <row r="20" spans="1:14">
      <c r="A20" s="53"/>
      <c r="B20" s="65"/>
      <c r="C20" s="65"/>
      <c r="D20" s="34"/>
    </row>
    <row r="22" spans="1:14" ht="39.75" customHeight="1" thickBot="1">
      <c r="A22" s="93" t="s">
        <v>219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14" s="58" customFormat="1" ht="15" customHeight="1">
      <c r="A23" s="101" t="s">
        <v>221</v>
      </c>
      <c r="B23" s="95" t="s">
        <v>222</v>
      </c>
      <c r="C23" s="95"/>
      <c r="D23" s="95" t="s">
        <v>223</v>
      </c>
      <c r="E23" s="96"/>
      <c r="F23" s="101" t="s">
        <v>221</v>
      </c>
      <c r="G23" s="95" t="s">
        <v>222</v>
      </c>
      <c r="H23" s="95"/>
      <c r="I23" s="95" t="s">
        <v>223</v>
      </c>
      <c r="J23" s="96"/>
    </row>
    <row r="24" spans="1:14">
      <c r="A24" s="102"/>
      <c r="B24" s="49" t="s">
        <v>225</v>
      </c>
      <c r="C24" s="49" t="s">
        <v>224</v>
      </c>
      <c r="D24" s="49" t="s">
        <v>225</v>
      </c>
      <c r="E24" s="63" t="s">
        <v>224</v>
      </c>
      <c r="F24" s="102"/>
      <c r="G24" s="88" t="s">
        <v>225</v>
      </c>
      <c r="H24" s="88" t="s">
        <v>224</v>
      </c>
      <c r="I24" s="88" t="s">
        <v>225</v>
      </c>
      <c r="J24" s="89" t="s">
        <v>224</v>
      </c>
    </row>
    <row r="25" spans="1:14">
      <c r="A25" s="97" t="s">
        <v>251</v>
      </c>
      <c r="B25" s="98"/>
      <c r="C25" s="98"/>
      <c r="D25" s="98"/>
      <c r="E25" s="99"/>
      <c r="F25" s="97" t="s">
        <v>259</v>
      </c>
      <c r="G25" s="98"/>
      <c r="H25" s="98"/>
      <c r="I25" s="98"/>
      <c r="J25" s="99"/>
    </row>
    <row r="26" spans="1:14" s="41" customFormat="1" ht="15.75" thickBot="1">
      <c r="A26" s="66">
        <v>14</v>
      </c>
      <c r="B26" s="51" t="s">
        <v>256</v>
      </c>
      <c r="C26" s="51" t="s">
        <v>257</v>
      </c>
      <c r="D26" s="67">
        <v>16.968</v>
      </c>
      <c r="E26" s="68">
        <v>5.1999999999999998E-2</v>
      </c>
      <c r="F26" s="66">
        <v>14</v>
      </c>
      <c r="G26" s="51" t="s">
        <v>256</v>
      </c>
      <c r="H26" s="51" t="s">
        <v>257</v>
      </c>
      <c r="I26" s="67">
        <v>16.968</v>
      </c>
      <c r="J26" s="68">
        <v>5.1999999999999998E-2</v>
      </c>
    </row>
    <row r="27" spans="1:14" s="41" customFormat="1">
      <c r="A27" s="53"/>
      <c r="B27" s="65"/>
      <c r="C27" s="65"/>
      <c r="D27" s="92"/>
      <c r="E27" s="91"/>
    </row>
    <row r="29" spans="1:14" ht="35.25" customHeight="1" thickBot="1">
      <c r="A29" s="93" t="s">
        <v>226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14" s="59" customFormat="1" ht="15" customHeight="1">
      <c r="A30" s="100" t="s">
        <v>228</v>
      </c>
      <c r="B30" s="94" t="s">
        <v>227</v>
      </c>
      <c r="C30" s="95"/>
      <c r="D30" s="95"/>
      <c r="E30" s="96"/>
      <c r="F30" s="94" t="s">
        <v>227</v>
      </c>
      <c r="G30" s="95"/>
      <c r="H30" s="95"/>
      <c r="I30" s="96"/>
    </row>
    <row r="31" spans="1:14" s="41" customFormat="1">
      <c r="A31" s="100"/>
      <c r="B31" s="48" t="s">
        <v>19</v>
      </c>
      <c r="C31" s="49" t="s">
        <v>20</v>
      </c>
      <c r="D31" s="49" t="s">
        <v>21</v>
      </c>
      <c r="E31" s="69" t="s">
        <v>22</v>
      </c>
      <c r="F31" s="87" t="s">
        <v>19</v>
      </c>
      <c r="G31" s="88" t="s">
        <v>20</v>
      </c>
      <c r="H31" s="88" t="s">
        <v>21</v>
      </c>
      <c r="I31" s="69" t="s">
        <v>22</v>
      </c>
    </row>
    <row r="32" spans="1:14">
      <c r="A32" s="100"/>
      <c r="B32" s="97" t="s">
        <v>251</v>
      </c>
      <c r="C32" s="98"/>
      <c r="D32" s="98"/>
      <c r="E32" s="99"/>
      <c r="F32" s="97" t="s">
        <v>259</v>
      </c>
      <c r="G32" s="98"/>
      <c r="H32" s="98"/>
      <c r="I32" s="99"/>
    </row>
    <row r="33" spans="1:9">
      <c r="A33" s="70" t="s">
        <v>241</v>
      </c>
      <c r="B33" s="48"/>
      <c r="C33" s="49"/>
      <c r="D33" s="49" t="s">
        <v>242</v>
      </c>
      <c r="E33" s="89" t="s">
        <v>265</v>
      </c>
      <c r="F33" s="87"/>
      <c r="G33" s="88"/>
      <c r="H33" s="88" t="s">
        <v>266</v>
      </c>
      <c r="I33" s="89" t="s">
        <v>267</v>
      </c>
    </row>
    <row r="34" spans="1:9" ht="15.75" thickBot="1">
      <c r="A34" s="47" t="s">
        <v>243</v>
      </c>
      <c r="B34" s="71"/>
      <c r="C34" s="72"/>
      <c r="D34" s="51" t="s">
        <v>258</v>
      </c>
      <c r="E34" s="73">
        <v>0.37</v>
      </c>
      <c r="F34" s="71"/>
      <c r="G34" s="72"/>
      <c r="H34" s="51" t="s">
        <v>268</v>
      </c>
      <c r="I34" s="73">
        <v>0.32</v>
      </c>
    </row>
  </sheetData>
  <mergeCells count="25">
    <mergeCell ref="A22:N22"/>
    <mergeCell ref="A1:R1"/>
    <mergeCell ref="C4:F4"/>
    <mergeCell ref="A4:A5"/>
    <mergeCell ref="B4:B5"/>
    <mergeCell ref="A3:N3"/>
    <mergeCell ref="A11:N11"/>
    <mergeCell ref="A12:A13"/>
    <mergeCell ref="B13:C13"/>
    <mergeCell ref="G4:J4"/>
    <mergeCell ref="D13:E13"/>
    <mergeCell ref="A29:N29"/>
    <mergeCell ref="B30:E30"/>
    <mergeCell ref="B32:E32"/>
    <mergeCell ref="A30:A32"/>
    <mergeCell ref="A23:A24"/>
    <mergeCell ref="A25:E25"/>
    <mergeCell ref="B23:C23"/>
    <mergeCell ref="D23:E23"/>
    <mergeCell ref="F23:F24"/>
    <mergeCell ref="G23:H23"/>
    <mergeCell ref="I23:J23"/>
    <mergeCell ref="F25:J25"/>
    <mergeCell ref="F30:I30"/>
    <mergeCell ref="F32:I32"/>
  </mergeCells>
  <pageMargins left="0.7" right="0.7" top="0.75" bottom="0.75" header="0.3" footer="0.3"/>
  <pageSetup paperSize="9" scale="69" orientation="landscape" r:id="rId1"/>
  <colBreaks count="1" manualBreakCount="1">
    <brk id="14" max="1048575" man="1"/>
  </colBreaks>
  <ignoredErrors>
    <ignoredError sqref="A6:B6 A14 B33:D33 C6:F6 E8 B14:C14 B16:C16 C34:D34 B26:E26 G6:J6 I8 D14:E14 G26:H26 E33:E34 H33:I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SheetLayoutView="100" workbookViewId="0">
      <selection activeCell="H6" sqref="H6"/>
    </sheetView>
  </sheetViews>
  <sheetFormatPr defaultRowHeight="15"/>
  <cols>
    <col min="1" max="1" width="6.7109375" style="34" customWidth="1"/>
    <col min="2" max="2" width="53.85546875" style="34" customWidth="1"/>
    <col min="3" max="3" width="12.28515625" style="34" customWidth="1"/>
    <col min="4" max="4" width="13.28515625" style="34" customWidth="1"/>
    <col min="5" max="5" width="14.140625" style="34" customWidth="1"/>
    <col min="6" max="18" width="9.140625" style="34"/>
    <col min="19" max="19" width="32.7109375" style="34" customWidth="1"/>
    <col min="20" max="20" width="34.42578125" style="34" customWidth="1"/>
    <col min="21" max="16384" width="9.140625" style="34"/>
  </cols>
  <sheetData>
    <row r="1" spans="1:13" ht="15.75" customHeight="1">
      <c r="A1" s="103" t="s">
        <v>269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s="74" customFormat="1" ht="12.75" customHeight="1">
      <c r="A2" s="118" t="s">
        <v>121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4" spans="1:13" ht="15" customHeight="1">
      <c r="A4" s="113" t="s">
        <v>2</v>
      </c>
      <c r="B4" s="113" t="s">
        <v>0</v>
      </c>
      <c r="C4" s="113" t="s">
        <v>1</v>
      </c>
      <c r="D4" s="113"/>
      <c r="E4" s="113"/>
    </row>
    <row r="5" spans="1:13" ht="38.25">
      <c r="A5" s="113"/>
      <c r="B5" s="113"/>
      <c r="C5" s="75" t="s">
        <v>3</v>
      </c>
      <c r="D5" s="75" t="s">
        <v>4</v>
      </c>
      <c r="E5" s="75" t="s">
        <v>5</v>
      </c>
    </row>
    <row r="6" spans="1:13">
      <c r="A6" s="75">
        <v>1</v>
      </c>
      <c r="B6" s="75">
        <v>2</v>
      </c>
      <c r="C6" s="76">
        <v>3</v>
      </c>
      <c r="D6" s="76">
        <v>4</v>
      </c>
      <c r="E6" s="76">
        <v>5</v>
      </c>
    </row>
    <row r="7" spans="1:13" ht="25.5" customHeight="1">
      <c r="A7" s="113">
        <v>1</v>
      </c>
      <c r="B7" s="112" t="s">
        <v>230</v>
      </c>
      <c r="C7" s="114">
        <v>0.1047</v>
      </c>
      <c r="D7" s="114">
        <v>0.14149999999999999</v>
      </c>
      <c r="E7" s="115">
        <f>(C7-D7)*100/C7</f>
        <v>-35.14804202483284</v>
      </c>
    </row>
    <row r="8" spans="1:13">
      <c r="A8" s="113"/>
      <c r="B8" s="112"/>
      <c r="C8" s="114"/>
      <c r="D8" s="114"/>
      <c r="E8" s="115"/>
    </row>
    <row r="9" spans="1:13">
      <c r="A9" s="78" t="s">
        <v>99</v>
      </c>
      <c r="B9" s="79" t="s">
        <v>6</v>
      </c>
      <c r="C9" s="77" t="s">
        <v>118</v>
      </c>
      <c r="D9" s="77" t="s">
        <v>118</v>
      </c>
      <c r="E9" s="77" t="s">
        <v>118</v>
      </c>
    </row>
    <row r="10" spans="1:13">
      <c r="A10" s="78" t="s">
        <v>100</v>
      </c>
      <c r="B10" s="79" t="s">
        <v>7</v>
      </c>
      <c r="C10" s="77" t="s">
        <v>118</v>
      </c>
      <c r="D10" s="77" t="s">
        <v>118</v>
      </c>
      <c r="E10" s="77" t="s">
        <v>118</v>
      </c>
    </row>
    <row r="11" spans="1:13">
      <c r="A11" s="78" t="s">
        <v>101</v>
      </c>
      <c r="B11" s="79" t="s">
        <v>8</v>
      </c>
      <c r="C11" s="77">
        <f>C7</f>
        <v>0.1047</v>
      </c>
      <c r="D11" s="77">
        <f>D7</f>
        <v>0.14149999999999999</v>
      </c>
      <c r="E11" s="80">
        <f>E7</f>
        <v>-35.14804202483284</v>
      </c>
    </row>
    <row r="12" spans="1:13">
      <c r="A12" s="78" t="s">
        <v>102</v>
      </c>
      <c r="B12" s="79" t="s">
        <v>9</v>
      </c>
      <c r="C12" s="77">
        <f>C7</f>
        <v>0.1047</v>
      </c>
      <c r="D12" s="77">
        <f>D7</f>
        <v>0.14149999999999999</v>
      </c>
      <c r="E12" s="80">
        <f>E7</f>
        <v>-35.14804202483284</v>
      </c>
    </row>
    <row r="13" spans="1:13" ht="25.5" customHeight="1">
      <c r="A13" s="113">
        <v>2</v>
      </c>
      <c r="B13" s="112" t="s">
        <v>229</v>
      </c>
      <c r="C13" s="114">
        <v>0.68</v>
      </c>
      <c r="D13" s="114">
        <v>1.6353</v>
      </c>
      <c r="E13" s="115">
        <f>(C13-D13)*100/C13</f>
        <v>-140.48529411764702</v>
      </c>
    </row>
    <row r="14" spans="1:13">
      <c r="A14" s="113"/>
      <c r="B14" s="112"/>
      <c r="C14" s="114"/>
      <c r="D14" s="114"/>
      <c r="E14" s="115"/>
    </row>
    <row r="15" spans="1:13">
      <c r="A15" s="78" t="s">
        <v>103</v>
      </c>
      <c r="B15" s="79" t="s">
        <v>6</v>
      </c>
      <c r="C15" s="77" t="s">
        <v>118</v>
      </c>
      <c r="D15" s="77" t="s">
        <v>118</v>
      </c>
      <c r="E15" s="77" t="s">
        <v>118</v>
      </c>
    </row>
    <row r="16" spans="1:13">
      <c r="A16" s="78" t="s">
        <v>104</v>
      </c>
      <c r="B16" s="79" t="s">
        <v>7</v>
      </c>
      <c r="C16" s="77" t="s">
        <v>118</v>
      </c>
      <c r="D16" s="77" t="s">
        <v>118</v>
      </c>
      <c r="E16" s="77" t="s">
        <v>118</v>
      </c>
    </row>
    <row r="17" spans="1:5">
      <c r="A17" s="78" t="s">
        <v>105</v>
      </c>
      <c r="B17" s="79" t="s">
        <v>8</v>
      </c>
      <c r="C17" s="77">
        <v>0.68</v>
      </c>
      <c r="D17" s="77">
        <f>D13</f>
        <v>1.6353</v>
      </c>
      <c r="E17" s="80">
        <f>E13</f>
        <v>-140.48529411764702</v>
      </c>
    </row>
    <row r="18" spans="1:5">
      <c r="A18" s="78" t="s">
        <v>106</v>
      </c>
      <c r="B18" s="79" t="s">
        <v>9</v>
      </c>
      <c r="C18" s="77">
        <v>0.68</v>
      </c>
      <c r="D18" s="77">
        <f>D13</f>
        <v>1.6353</v>
      </c>
      <c r="E18" s="80">
        <f>E13</f>
        <v>-140.48529411764702</v>
      </c>
    </row>
    <row r="19" spans="1:5" ht="63.75" customHeight="1">
      <c r="A19" s="113">
        <v>3</v>
      </c>
      <c r="B19" s="112" t="s">
        <v>231</v>
      </c>
      <c r="C19" s="114">
        <v>8.6400000000000005E-2</v>
      </c>
      <c r="D19" s="114">
        <v>8.6400000000000005E-2</v>
      </c>
      <c r="E19" s="115">
        <f>(C19-D19)*100/C19</f>
        <v>0</v>
      </c>
    </row>
    <row r="20" spans="1:5">
      <c r="A20" s="113"/>
      <c r="B20" s="112"/>
      <c r="C20" s="114"/>
      <c r="D20" s="114"/>
      <c r="E20" s="115"/>
    </row>
    <row r="21" spans="1:5">
      <c r="A21" s="78" t="s">
        <v>107</v>
      </c>
      <c r="B21" s="79" t="s">
        <v>6</v>
      </c>
      <c r="C21" s="77" t="s">
        <v>118</v>
      </c>
      <c r="D21" s="77" t="s">
        <v>118</v>
      </c>
      <c r="E21" s="77" t="s">
        <v>118</v>
      </c>
    </row>
    <row r="22" spans="1:5">
      <c r="A22" s="78" t="s">
        <v>108</v>
      </c>
      <c r="B22" s="79" t="s">
        <v>7</v>
      </c>
      <c r="C22" s="77" t="s">
        <v>118</v>
      </c>
      <c r="D22" s="77" t="s">
        <v>118</v>
      </c>
      <c r="E22" s="77" t="s">
        <v>118</v>
      </c>
    </row>
    <row r="23" spans="1:5">
      <c r="A23" s="78" t="s">
        <v>109</v>
      </c>
      <c r="B23" s="79" t="s">
        <v>8</v>
      </c>
      <c r="C23" s="77">
        <v>8.6400000000000005E-2</v>
      </c>
      <c r="D23" s="77">
        <v>8.6400000000000005E-2</v>
      </c>
      <c r="E23" s="80">
        <f>E19</f>
        <v>0</v>
      </c>
    </row>
    <row r="24" spans="1:5">
      <c r="A24" s="78" t="s">
        <v>110</v>
      </c>
      <c r="B24" s="79" t="s">
        <v>9</v>
      </c>
      <c r="C24" s="77">
        <v>8.6400000000000005E-2</v>
      </c>
      <c r="D24" s="77">
        <v>8.6400000000000005E-2</v>
      </c>
      <c r="E24" s="80">
        <f>E19</f>
        <v>0</v>
      </c>
    </row>
    <row r="25" spans="1:5" ht="63.75" customHeight="1">
      <c r="A25" s="113">
        <v>4</v>
      </c>
      <c r="B25" s="112" t="s">
        <v>232</v>
      </c>
      <c r="C25" s="114">
        <v>0</v>
      </c>
      <c r="D25" s="114">
        <v>0</v>
      </c>
      <c r="E25" s="114">
        <v>0</v>
      </c>
    </row>
    <row r="26" spans="1:5">
      <c r="A26" s="113"/>
      <c r="B26" s="112"/>
      <c r="C26" s="114"/>
      <c r="D26" s="114"/>
      <c r="E26" s="114"/>
    </row>
    <row r="27" spans="1:5">
      <c r="A27" s="78" t="s">
        <v>111</v>
      </c>
      <c r="B27" s="79" t="s">
        <v>6</v>
      </c>
      <c r="C27" s="77" t="s">
        <v>118</v>
      </c>
      <c r="D27" s="77" t="s">
        <v>118</v>
      </c>
      <c r="E27" s="77" t="s">
        <v>118</v>
      </c>
    </row>
    <row r="28" spans="1:5">
      <c r="A28" s="78" t="s">
        <v>112</v>
      </c>
      <c r="B28" s="79" t="s">
        <v>7</v>
      </c>
      <c r="C28" s="77" t="s">
        <v>118</v>
      </c>
      <c r="D28" s="77" t="s">
        <v>118</v>
      </c>
      <c r="E28" s="77" t="s">
        <v>118</v>
      </c>
    </row>
    <row r="29" spans="1:5">
      <c r="A29" s="78" t="s">
        <v>113</v>
      </c>
      <c r="B29" s="79" t="s">
        <v>8</v>
      </c>
      <c r="C29" s="77" t="s">
        <v>118</v>
      </c>
      <c r="D29" s="77" t="s">
        <v>118</v>
      </c>
      <c r="E29" s="77" t="s">
        <v>118</v>
      </c>
    </row>
    <row r="30" spans="1:5">
      <c r="A30" s="78" t="s">
        <v>114</v>
      </c>
      <c r="B30" s="79" t="s">
        <v>9</v>
      </c>
      <c r="C30" s="77" t="s">
        <v>118</v>
      </c>
      <c r="D30" s="77" t="s">
        <v>118</v>
      </c>
      <c r="E30" s="77" t="s">
        <v>118</v>
      </c>
    </row>
    <row r="31" spans="1:5" ht="38.25">
      <c r="A31" s="75">
        <v>5</v>
      </c>
      <c r="B31" s="81" t="s">
        <v>10</v>
      </c>
      <c r="C31" s="77">
        <v>0</v>
      </c>
      <c r="D31" s="77">
        <v>0</v>
      </c>
      <c r="E31" s="77">
        <v>0</v>
      </c>
    </row>
    <row r="32" spans="1:5" ht="51">
      <c r="A32" s="78" t="s">
        <v>115</v>
      </c>
      <c r="B32" s="81" t="s">
        <v>11</v>
      </c>
      <c r="C32" s="77">
        <v>0</v>
      </c>
      <c r="D32" s="77">
        <v>0</v>
      </c>
      <c r="E32" s="77">
        <v>0</v>
      </c>
    </row>
    <row r="34" spans="1:20" s="82" customFormat="1" ht="12.75" customHeight="1">
      <c r="A34" s="116" t="s">
        <v>234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1:20">
      <c r="A35" s="83"/>
    </row>
    <row r="36" spans="1:20" ht="133.5" customHeight="1">
      <c r="A36" s="113" t="s">
        <v>2</v>
      </c>
      <c r="B36" s="113" t="s">
        <v>12</v>
      </c>
      <c r="C36" s="113" t="s">
        <v>13</v>
      </c>
      <c r="D36" s="113"/>
      <c r="E36" s="113"/>
      <c r="F36" s="113"/>
      <c r="G36" s="113" t="s">
        <v>14</v>
      </c>
      <c r="H36" s="113"/>
      <c r="I36" s="113"/>
      <c r="J36" s="113"/>
      <c r="K36" s="113" t="s">
        <v>15</v>
      </c>
      <c r="L36" s="113"/>
      <c r="M36" s="113"/>
      <c r="N36" s="113"/>
      <c r="O36" s="113" t="s">
        <v>16</v>
      </c>
      <c r="P36" s="113"/>
      <c r="Q36" s="113"/>
      <c r="R36" s="113"/>
      <c r="S36" s="113" t="s">
        <v>17</v>
      </c>
      <c r="T36" s="113" t="s">
        <v>18</v>
      </c>
    </row>
    <row r="37" spans="1:20" ht="33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>
      <c r="A38" s="113"/>
      <c r="B38" s="113"/>
      <c r="C38" s="75" t="s">
        <v>19</v>
      </c>
      <c r="D38" s="75" t="s">
        <v>20</v>
      </c>
      <c r="E38" s="75" t="s">
        <v>21</v>
      </c>
      <c r="F38" s="75" t="s">
        <v>22</v>
      </c>
      <c r="G38" s="75" t="s">
        <v>19</v>
      </c>
      <c r="H38" s="75" t="s">
        <v>20</v>
      </c>
      <c r="I38" s="75" t="s">
        <v>21</v>
      </c>
      <c r="J38" s="75" t="s">
        <v>22</v>
      </c>
      <c r="K38" s="75" t="s">
        <v>19</v>
      </c>
      <c r="L38" s="75" t="s">
        <v>20</v>
      </c>
      <c r="M38" s="75" t="s">
        <v>21</v>
      </c>
      <c r="N38" s="75" t="s">
        <v>22</v>
      </c>
      <c r="O38" s="75" t="s">
        <v>19</v>
      </c>
      <c r="P38" s="75" t="s">
        <v>20</v>
      </c>
      <c r="Q38" s="75" t="s">
        <v>21</v>
      </c>
      <c r="R38" s="75" t="s">
        <v>22</v>
      </c>
      <c r="S38" s="113"/>
      <c r="T38" s="113"/>
    </row>
    <row r="39" spans="1:20">
      <c r="A39" s="75">
        <v>1</v>
      </c>
      <c r="B39" s="75">
        <v>2</v>
      </c>
      <c r="C39" s="75">
        <v>3</v>
      </c>
      <c r="D39" s="75">
        <v>4</v>
      </c>
      <c r="E39" s="75">
        <v>5</v>
      </c>
      <c r="F39" s="75">
        <v>6</v>
      </c>
      <c r="G39" s="75">
        <v>7</v>
      </c>
      <c r="H39" s="75">
        <v>8</v>
      </c>
      <c r="I39" s="75">
        <v>9</v>
      </c>
      <c r="J39" s="75">
        <v>10</v>
      </c>
      <c r="K39" s="75">
        <v>11</v>
      </c>
      <c r="L39" s="75">
        <v>12</v>
      </c>
      <c r="M39" s="75">
        <v>13</v>
      </c>
      <c r="N39" s="75">
        <v>14</v>
      </c>
      <c r="O39" s="75">
        <v>15</v>
      </c>
      <c r="P39" s="75">
        <v>16</v>
      </c>
      <c r="Q39" s="75">
        <v>17</v>
      </c>
      <c r="R39" s="75">
        <v>18</v>
      </c>
      <c r="S39" s="75">
        <v>19</v>
      </c>
      <c r="T39" s="75">
        <v>20</v>
      </c>
    </row>
    <row r="40" spans="1:20">
      <c r="A40" s="75">
        <v>1</v>
      </c>
      <c r="B40" s="84" t="s">
        <v>250</v>
      </c>
      <c r="C40" s="75"/>
      <c r="D40" s="75"/>
      <c r="E40" s="75">
        <f>D7</f>
        <v>0.14149999999999999</v>
      </c>
      <c r="F40" s="75">
        <f>D12</f>
        <v>0.14149999999999999</v>
      </c>
      <c r="G40" s="75"/>
      <c r="H40" s="75"/>
      <c r="I40" s="75">
        <f>D13</f>
        <v>1.6353</v>
      </c>
      <c r="J40" s="75">
        <f>D18</f>
        <v>1.6353</v>
      </c>
      <c r="K40" s="75"/>
      <c r="L40" s="75"/>
      <c r="M40" s="75">
        <f>D23</f>
        <v>8.6400000000000005E-2</v>
      </c>
      <c r="N40" s="75">
        <f>D24</f>
        <v>8.6400000000000005E-2</v>
      </c>
      <c r="O40" s="75"/>
      <c r="P40" s="75"/>
      <c r="Q40" s="75">
        <v>0</v>
      </c>
      <c r="R40" s="75">
        <v>0</v>
      </c>
      <c r="S40" s="75">
        <v>0.89749999999999996</v>
      </c>
      <c r="T40" s="75"/>
    </row>
    <row r="41" spans="1:20">
      <c r="A41" s="75" t="s">
        <v>23</v>
      </c>
      <c r="B41" s="84" t="s">
        <v>24</v>
      </c>
      <c r="C41" s="77">
        <f>C40</f>
        <v>0</v>
      </c>
      <c r="D41" s="77">
        <f t="shared" ref="D41:S41" si="0">D40</f>
        <v>0</v>
      </c>
      <c r="E41" s="77">
        <f t="shared" si="0"/>
        <v>0.14149999999999999</v>
      </c>
      <c r="F41" s="77">
        <f t="shared" si="0"/>
        <v>0.14149999999999999</v>
      </c>
      <c r="G41" s="77">
        <f t="shared" si="0"/>
        <v>0</v>
      </c>
      <c r="H41" s="77">
        <f t="shared" si="0"/>
        <v>0</v>
      </c>
      <c r="I41" s="77">
        <f t="shared" si="0"/>
        <v>1.6353</v>
      </c>
      <c r="J41" s="77">
        <f t="shared" si="0"/>
        <v>1.6353</v>
      </c>
      <c r="K41" s="77">
        <f t="shared" si="0"/>
        <v>0</v>
      </c>
      <c r="L41" s="77">
        <f t="shared" si="0"/>
        <v>0</v>
      </c>
      <c r="M41" s="77">
        <f t="shared" si="0"/>
        <v>8.6400000000000005E-2</v>
      </c>
      <c r="N41" s="77">
        <f t="shared" si="0"/>
        <v>8.6400000000000005E-2</v>
      </c>
      <c r="O41" s="77">
        <f t="shared" si="0"/>
        <v>0</v>
      </c>
      <c r="P41" s="77">
        <f t="shared" si="0"/>
        <v>0</v>
      </c>
      <c r="Q41" s="77">
        <f t="shared" si="0"/>
        <v>0</v>
      </c>
      <c r="R41" s="77">
        <f t="shared" si="0"/>
        <v>0</v>
      </c>
      <c r="S41" s="77">
        <f t="shared" si="0"/>
        <v>0.89749999999999996</v>
      </c>
      <c r="T41" s="77"/>
    </row>
    <row r="42" spans="1:20">
      <c r="A42" s="83"/>
    </row>
    <row r="43" spans="1:20" ht="15" customHeight="1">
      <c r="A43" s="116" t="s">
        <v>126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ht="15" customHeight="1">
      <c r="A44" s="120" t="s">
        <v>127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</row>
    <row r="45" spans="1:20" ht="15" customHeight="1">
      <c r="A45" s="120" t="s">
        <v>128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</row>
    <row r="46" spans="1:20" ht="15" customHeight="1">
      <c r="A46" s="120" t="s">
        <v>129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</row>
    <row r="47" spans="1:20" ht="15" customHeight="1">
      <c r="A47" s="116" t="s">
        <v>25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</sheetData>
  <mergeCells count="39">
    <mergeCell ref="A43:T43"/>
    <mergeCell ref="A47:T47"/>
    <mergeCell ref="A36:A38"/>
    <mergeCell ref="B36:B38"/>
    <mergeCell ref="C36:F37"/>
    <mergeCell ref="G36:J37"/>
    <mergeCell ref="K36:N37"/>
    <mergeCell ref="O36:R37"/>
    <mergeCell ref="A44:T44"/>
    <mergeCell ref="A46:T46"/>
    <mergeCell ref="A45:T45"/>
    <mergeCell ref="S36:S38"/>
    <mergeCell ref="T36:T3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B25:B26"/>
    <mergeCell ref="A1:M1"/>
    <mergeCell ref="A4:A5"/>
    <mergeCell ref="B4:B5"/>
    <mergeCell ref="C4:E4"/>
    <mergeCell ref="A7:A8"/>
    <mergeCell ref="C7:C8"/>
    <mergeCell ref="D7:D8"/>
    <mergeCell ref="E7:E8"/>
    <mergeCell ref="B7:B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view="pageBreakPreview" zoomScale="85" zoomScaleSheetLayoutView="85" workbookViewId="0">
      <selection activeCell="P47" sqref="P47"/>
    </sheetView>
  </sheetViews>
  <sheetFormatPr defaultRowHeight="15"/>
  <cols>
    <col min="1" max="1" width="5" style="1" customWidth="1"/>
    <col min="2" max="2" width="34.7109375" style="1" customWidth="1"/>
    <col min="3" max="4" width="9.140625" style="1"/>
    <col min="5" max="5" width="10.5703125" style="1" customWidth="1"/>
    <col min="6" max="6" width="10.7109375" style="1" customWidth="1"/>
    <col min="7" max="7" width="9.140625" style="1"/>
    <col min="8" max="8" width="11.42578125" style="1" customWidth="1"/>
    <col min="9" max="10" width="9.28515625" style="1" bestFit="1" customWidth="1"/>
    <col min="11" max="11" width="11.140625" style="1" customWidth="1"/>
    <col min="12" max="12" width="9.28515625" style="1" bestFit="1" customWidth="1"/>
    <col min="13" max="13" width="9.140625" style="1"/>
    <col min="14" max="14" width="11.140625" style="1" customWidth="1"/>
    <col min="15" max="16" width="9.140625" style="1"/>
    <col min="17" max="17" width="11" style="1" customWidth="1"/>
    <col min="18" max="16384" width="9.140625" style="1"/>
  </cols>
  <sheetData>
    <row r="1" spans="1:18" s="3" customFormat="1" ht="15.75">
      <c r="A1" s="121" t="s">
        <v>235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8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8" ht="56.25" customHeight="1">
      <c r="A3" s="124" t="s">
        <v>236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3"/>
      <c r="O3" s="123"/>
      <c r="P3" s="123"/>
      <c r="Q3" s="123"/>
      <c r="R3" s="123"/>
    </row>
    <row r="4" spans="1:18">
      <c r="A4" s="124" t="s">
        <v>123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3"/>
      <c r="O4" s="123"/>
      <c r="P4" s="123"/>
      <c r="Q4" s="123"/>
      <c r="R4" s="123"/>
    </row>
    <row r="5" spans="1:18">
      <c r="A5" s="134" t="s">
        <v>125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>
      <c r="A6" s="134" t="s">
        <v>122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1:18">
      <c r="A7" s="134" t="s">
        <v>124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</row>
    <row r="8" spans="1:18">
      <c r="A8" s="124" t="s">
        <v>27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3"/>
      <c r="O8" s="123"/>
      <c r="P8" s="123"/>
      <c r="Q8" s="123"/>
      <c r="R8" s="123"/>
    </row>
    <row r="9" spans="1:18">
      <c r="A9" s="124" t="s">
        <v>28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8">
      <c r="A10" s="2"/>
    </row>
    <row r="11" spans="1:18">
      <c r="A11" s="126" t="s">
        <v>2</v>
      </c>
      <c r="B11" s="126" t="s">
        <v>0</v>
      </c>
      <c r="C11" s="126" t="s">
        <v>29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 t="s">
        <v>30</v>
      </c>
    </row>
    <row r="12" spans="1:18" ht="25.5" customHeight="1">
      <c r="A12" s="126"/>
      <c r="B12" s="126"/>
      <c r="C12" s="126" t="s">
        <v>31</v>
      </c>
      <c r="D12" s="126"/>
      <c r="E12" s="126"/>
      <c r="F12" s="126" t="s">
        <v>32</v>
      </c>
      <c r="G12" s="126"/>
      <c r="H12" s="126"/>
      <c r="I12" s="126" t="s">
        <v>33</v>
      </c>
      <c r="J12" s="126"/>
      <c r="K12" s="126"/>
      <c r="L12" s="126" t="s">
        <v>34</v>
      </c>
      <c r="M12" s="126"/>
      <c r="N12" s="126"/>
      <c r="O12" s="126" t="s">
        <v>35</v>
      </c>
      <c r="P12" s="126"/>
      <c r="Q12" s="126"/>
      <c r="R12" s="126"/>
    </row>
    <row r="13" spans="1:18" ht="51">
      <c r="A13" s="126"/>
      <c r="B13" s="126"/>
      <c r="C13" s="7" t="s">
        <v>3</v>
      </c>
      <c r="D13" s="7" t="s">
        <v>4</v>
      </c>
      <c r="E13" s="30" t="s">
        <v>5</v>
      </c>
      <c r="F13" s="7" t="s">
        <v>3</v>
      </c>
      <c r="G13" s="7" t="s">
        <v>4</v>
      </c>
      <c r="H13" s="30" t="s">
        <v>5</v>
      </c>
      <c r="I13" s="7" t="s">
        <v>3</v>
      </c>
      <c r="J13" s="7" t="s">
        <v>4</v>
      </c>
      <c r="K13" s="7" t="s">
        <v>36</v>
      </c>
      <c r="L13" s="7" t="s">
        <v>3</v>
      </c>
      <c r="M13" s="7" t="s">
        <v>4</v>
      </c>
      <c r="N13" s="7" t="s">
        <v>36</v>
      </c>
      <c r="O13" s="7" t="s">
        <v>3</v>
      </c>
      <c r="P13" s="7" t="s">
        <v>4</v>
      </c>
      <c r="Q13" s="7" t="s">
        <v>36</v>
      </c>
      <c r="R13" s="10"/>
    </row>
    <row r="14" spans="1:18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7">
        <v>16</v>
      </c>
      <c r="Q14" s="7">
        <v>17</v>
      </c>
      <c r="R14" s="7">
        <v>18</v>
      </c>
    </row>
    <row r="15" spans="1:18" ht="38.25">
      <c r="A15" s="7">
        <v>1</v>
      </c>
      <c r="B15" s="11" t="s">
        <v>37</v>
      </c>
      <c r="C15" s="90">
        <v>4</v>
      </c>
      <c r="D15" s="9">
        <v>4</v>
      </c>
      <c r="E15" s="9">
        <f>(D15-C15)/D15</f>
        <v>0</v>
      </c>
      <c r="F15" s="90">
        <v>4</v>
      </c>
      <c r="G15" s="9">
        <v>4</v>
      </c>
      <c r="H15" s="31">
        <f>(G15-F15)/G15</f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f>D15+G15+J15+M15+P15</f>
        <v>8</v>
      </c>
    </row>
    <row r="16" spans="1:18" ht="63.75">
      <c r="A16" s="7">
        <v>2</v>
      </c>
      <c r="B16" s="10" t="s">
        <v>38</v>
      </c>
      <c r="C16" s="90">
        <v>4</v>
      </c>
      <c r="D16" s="9">
        <v>4</v>
      </c>
      <c r="E16" s="31">
        <f t="shared" ref="E16:E26" si="0">(D16-C16)/D16</f>
        <v>0</v>
      </c>
      <c r="F16" s="90">
        <v>4</v>
      </c>
      <c r="G16" s="9">
        <v>4</v>
      </c>
      <c r="H16" s="31">
        <f t="shared" ref="H16:H26" si="1">(G16-F16)/G16</f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32">
        <f t="shared" ref="R16:R26" si="2">D16+G16+J16+M16+P16</f>
        <v>8</v>
      </c>
    </row>
    <row r="17" spans="1:18" ht="102">
      <c r="A17" s="7">
        <v>3</v>
      </c>
      <c r="B17" s="10" t="s">
        <v>39</v>
      </c>
      <c r="C17" s="90">
        <v>0</v>
      </c>
      <c r="D17" s="9">
        <v>0</v>
      </c>
      <c r="E17" s="31">
        <v>0</v>
      </c>
      <c r="F17" s="90">
        <v>0</v>
      </c>
      <c r="G17" s="9">
        <v>0</v>
      </c>
      <c r="H17" s="31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32">
        <f t="shared" si="2"/>
        <v>0</v>
      </c>
    </row>
    <row r="18" spans="1:18">
      <c r="A18" s="12" t="s">
        <v>107</v>
      </c>
      <c r="B18" s="10" t="s">
        <v>40</v>
      </c>
      <c r="C18" s="90">
        <v>0</v>
      </c>
      <c r="D18" s="9">
        <v>0</v>
      </c>
      <c r="E18" s="31">
        <v>0</v>
      </c>
      <c r="F18" s="90">
        <v>0</v>
      </c>
      <c r="G18" s="9">
        <v>0</v>
      </c>
      <c r="H18" s="31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32">
        <f t="shared" si="2"/>
        <v>0</v>
      </c>
    </row>
    <row r="19" spans="1:18">
      <c r="A19" s="12" t="s">
        <v>108</v>
      </c>
      <c r="B19" s="10" t="s">
        <v>41</v>
      </c>
      <c r="C19" s="90">
        <v>0</v>
      </c>
      <c r="D19" s="9">
        <v>0</v>
      </c>
      <c r="E19" s="31">
        <v>0</v>
      </c>
      <c r="F19" s="90">
        <v>0</v>
      </c>
      <c r="G19" s="9">
        <v>0</v>
      </c>
      <c r="H19" s="31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32">
        <f t="shared" si="2"/>
        <v>0</v>
      </c>
    </row>
    <row r="20" spans="1:18" ht="63.75">
      <c r="A20" s="7">
        <v>4</v>
      </c>
      <c r="B20" s="10" t="s">
        <v>42</v>
      </c>
      <c r="C20" s="90">
        <v>3</v>
      </c>
      <c r="D20" s="9">
        <v>3</v>
      </c>
      <c r="E20" s="31">
        <f t="shared" si="0"/>
        <v>0</v>
      </c>
      <c r="F20" s="90">
        <v>3</v>
      </c>
      <c r="G20" s="9">
        <v>3</v>
      </c>
      <c r="H20" s="31">
        <f t="shared" si="1"/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32">
        <f t="shared" si="2"/>
        <v>6</v>
      </c>
    </row>
    <row r="21" spans="1:18" ht="51">
      <c r="A21" s="7">
        <v>5</v>
      </c>
      <c r="B21" s="10" t="s">
        <v>43</v>
      </c>
      <c r="C21" s="90">
        <v>4</v>
      </c>
      <c r="D21" s="9">
        <v>4</v>
      </c>
      <c r="E21" s="31">
        <f t="shared" si="0"/>
        <v>0</v>
      </c>
      <c r="F21" s="90">
        <v>2</v>
      </c>
      <c r="G21" s="9">
        <v>2</v>
      </c>
      <c r="H21" s="31">
        <f t="shared" si="1"/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32">
        <f t="shared" si="2"/>
        <v>6</v>
      </c>
    </row>
    <row r="22" spans="1:18" ht="51">
      <c r="A22" s="7">
        <v>6</v>
      </c>
      <c r="B22" s="10" t="s">
        <v>44</v>
      </c>
      <c r="C22" s="90">
        <v>4</v>
      </c>
      <c r="D22" s="9">
        <v>4</v>
      </c>
      <c r="E22" s="31">
        <f t="shared" si="0"/>
        <v>0</v>
      </c>
      <c r="F22" s="90">
        <v>2</v>
      </c>
      <c r="G22" s="9">
        <v>2</v>
      </c>
      <c r="H22" s="31">
        <f t="shared" si="1"/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32">
        <f t="shared" si="2"/>
        <v>6</v>
      </c>
    </row>
    <row r="23" spans="1:18" ht="89.25">
      <c r="A23" s="7">
        <v>7</v>
      </c>
      <c r="B23" s="10" t="s">
        <v>45</v>
      </c>
      <c r="C23" s="90">
        <v>0</v>
      </c>
      <c r="D23" s="9">
        <v>0</v>
      </c>
      <c r="E23" s="31">
        <v>0</v>
      </c>
      <c r="F23" s="90">
        <v>0</v>
      </c>
      <c r="G23" s="9">
        <v>0</v>
      </c>
      <c r="H23" s="31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32">
        <f t="shared" si="2"/>
        <v>0</v>
      </c>
    </row>
    <row r="24" spans="1:18">
      <c r="A24" s="12" t="s">
        <v>116</v>
      </c>
      <c r="B24" s="10" t="s">
        <v>40</v>
      </c>
      <c r="C24" s="90">
        <v>0</v>
      </c>
      <c r="D24" s="9">
        <v>0</v>
      </c>
      <c r="E24" s="31">
        <v>0</v>
      </c>
      <c r="F24" s="90">
        <v>0</v>
      </c>
      <c r="G24" s="9">
        <v>0</v>
      </c>
      <c r="H24" s="31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32">
        <f t="shared" si="2"/>
        <v>0</v>
      </c>
    </row>
    <row r="25" spans="1:18">
      <c r="A25" s="12" t="s">
        <v>117</v>
      </c>
      <c r="B25" s="10" t="s">
        <v>46</v>
      </c>
      <c r="C25" s="90">
        <v>0</v>
      </c>
      <c r="D25" s="9">
        <v>0</v>
      </c>
      <c r="E25" s="31">
        <v>0</v>
      </c>
      <c r="F25" s="90">
        <v>0</v>
      </c>
      <c r="G25" s="9">
        <v>0</v>
      </c>
      <c r="H25" s="31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32">
        <f t="shared" si="2"/>
        <v>0</v>
      </c>
    </row>
    <row r="26" spans="1:18" ht="51">
      <c r="A26" s="7">
        <v>8</v>
      </c>
      <c r="B26" s="10" t="s">
        <v>47</v>
      </c>
      <c r="C26" s="90">
        <v>3</v>
      </c>
      <c r="D26" s="9">
        <v>3</v>
      </c>
      <c r="E26" s="31">
        <f t="shared" si="0"/>
        <v>0</v>
      </c>
      <c r="F26" s="90">
        <v>10</v>
      </c>
      <c r="G26" s="9">
        <v>10</v>
      </c>
      <c r="H26" s="31">
        <f t="shared" si="1"/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32">
        <f t="shared" si="2"/>
        <v>13</v>
      </c>
    </row>
    <row r="27" spans="1:18">
      <c r="A27" s="2"/>
    </row>
    <row r="28" spans="1:18" ht="33.75" customHeight="1">
      <c r="A28" s="132" t="s">
        <v>48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</row>
    <row r="29" spans="1:18" ht="28.5" customHeight="1">
      <c r="A29" s="127" t="s">
        <v>270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</row>
    <row r="30" spans="1:18">
      <c r="B30" s="126" t="s">
        <v>49</v>
      </c>
      <c r="C30" s="126"/>
      <c r="D30" s="126"/>
      <c r="E30" s="126">
        <v>15</v>
      </c>
      <c r="F30" s="126"/>
      <c r="G30" s="126">
        <v>150</v>
      </c>
      <c r="H30" s="126"/>
      <c r="I30" s="126">
        <v>250</v>
      </c>
      <c r="J30" s="126"/>
      <c r="K30" s="126">
        <v>670</v>
      </c>
      <c r="L30" s="126"/>
    </row>
    <row r="31" spans="1:18">
      <c r="B31" s="126" t="s">
        <v>50</v>
      </c>
      <c r="C31" s="126"/>
      <c r="D31" s="126"/>
      <c r="E31" s="7" t="s">
        <v>51</v>
      </c>
      <c r="F31" s="7" t="s">
        <v>52</v>
      </c>
      <c r="G31" s="7" t="s">
        <v>51</v>
      </c>
      <c r="H31" s="7" t="s">
        <v>52</v>
      </c>
      <c r="I31" s="7" t="s">
        <v>51</v>
      </c>
      <c r="J31" s="7" t="s">
        <v>52</v>
      </c>
      <c r="K31" s="7" t="s">
        <v>51</v>
      </c>
      <c r="L31" s="7" t="s">
        <v>52</v>
      </c>
    </row>
    <row r="32" spans="1:18" ht="114.75">
      <c r="B32" s="7" t="s">
        <v>53</v>
      </c>
      <c r="C32" s="7" t="s">
        <v>54</v>
      </c>
      <c r="D32" s="7" t="s">
        <v>55</v>
      </c>
      <c r="E32" s="26" t="s">
        <v>244</v>
      </c>
      <c r="F32" s="26" t="s">
        <v>245</v>
      </c>
      <c r="G32" s="26" t="s">
        <v>244</v>
      </c>
      <c r="H32" s="26" t="s">
        <v>244</v>
      </c>
      <c r="I32" s="26" t="s">
        <v>244</v>
      </c>
      <c r="J32" s="26" t="s">
        <v>244</v>
      </c>
      <c r="K32" s="26" t="s">
        <v>244</v>
      </c>
      <c r="L32" s="26" t="s">
        <v>244</v>
      </c>
    </row>
    <row r="33" spans="2:12">
      <c r="B33" s="128" t="s">
        <v>246</v>
      </c>
      <c r="C33" s="128" t="s">
        <v>56</v>
      </c>
      <c r="D33" s="25" t="s">
        <v>57</v>
      </c>
      <c r="E33" s="27">
        <f>(371.7*15+2*(315089.02*0.3)+539.96*15)</f>
        <v>202728.31200000001</v>
      </c>
      <c r="F33" s="129">
        <v>550</v>
      </c>
      <c r="G33" s="27">
        <f>(371.7*150+2*(315089.02*0.3)+539.96*150)</f>
        <v>325802.41200000001</v>
      </c>
      <c r="H33" s="27">
        <f>371.7*150+(315089.02*0.3)+539.96*150</f>
        <v>231275.70600000001</v>
      </c>
      <c r="I33" s="27">
        <f>(371.7*250+2*(630178.54*0.3)+1079.93*250)</f>
        <v>741014.62400000007</v>
      </c>
      <c r="J33" s="27">
        <f>371.7*250+(630178.54*0.3)+1079.93*250</f>
        <v>551961.06200000003</v>
      </c>
      <c r="K33" s="27">
        <f>(371.7*670+2*(630178.54*0.3)+1079.93*670)</f>
        <v>1350699.2240000002</v>
      </c>
      <c r="L33" s="27">
        <f>371.7*670+(630178.54*0.3)+1079.93*670</f>
        <v>1161645.662</v>
      </c>
    </row>
    <row r="34" spans="2:12">
      <c r="B34" s="128"/>
      <c r="C34" s="128"/>
      <c r="D34" s="25" t="s">
        <v>58</v>
      </c>
      <c r="E34" s="27">
        <f>(371.7*15+2*(157903.11*0.3)+539.96*15)</f>
        <v>108416.76599999999</v>
      </c>
      <c r="F34" s="130"/>
      <c r="G34" s="27">
        <f>(371.7*150+2*(157903.11*0.3)+539.96*150)</f>
        <v>231490.86599999998</v>
      </c>
      <c r="H34" s="27">
        <f>371.7*150+(157903.11*0.3)+539.96*150</f>
        <v>184119.93299999999</v>
      </c>
      <c r="I34" s="27">
        <f>(371.7*250+2*(315806.44*0.3)+1079.93*250)</f>
        <v>552391.36400000006</v>
      </c>
      <c r="J34" s="27">
        <f>371.7*250+(315806.44*0.3)+1079.93*250</f>
        <v>457649.43200000003</v>
      </c>
      <c r="K34" s="27">
        <f>(371.7*670+2*(315806.44*0.3)+1079.93*670)</f>
        <v>1162075.9640000002</v>
      </c>
      <c r="L34" s="27">
        <f>371.7*670+(315806.44*0.3)+1079.93*670</f>
        <v>1067334.0320000001</v>
      </c>
    </row>
    <row r="35" spans="2:12">
      <c r="B35" s="128"/>
      <c r="C35" s="128" t="s">
        <v>59</v>
      </c>
      <c r="D35" s="25" t="s">
        <v>57</v>
      </c>
      <c r="E35" s="27">
        <f>(371.7*15+2*(315089.02*0.3))</f>
        <v>194628.91200000001</v>
      </c>
      <c r="F35" s="129">
        <v>550</v>
      </c>
      <c r="G35" s="27">
        <f>(371.7*150+2*(315089.02*0.3))</f>
        <v>244808.41200000001</v>
      </c>
      <c r="H35" s="27">
        <f>371.7*150+(315089.02*0.3)</f>
        <v>150281.70600000001</v>
      </c>
      <c r="I35" s="27">
        <f>(371.7*250+2*(630178.54*0.3))</f>
        <v>471032.12400000001</v>
      </c>
      <c r="J35" s="27">
        <f>371.7*250+(630178.54*0.3)</f>
        <v>281978.56200000003</v>
      </c>
      <c r="K35" s="27">
        <f>(371.7*670+2*(630178.54*0.3))</f>
        <v>627146.12400000007</v>
      </c>
      <c r="L35" s="27">
        <f>371.7*670+(630178.54*0.3)</f>
        <v>438092.56200000003</v>
      </c>
    </row>
    <row r="36" spans="2:12">
      <c r="B36" s="128"/>
      <c r="C36" s="128"/>
      <c r="D36" s="25" t="s">
        <v>58</v>
      </c>
      <c r="E36" s="27">
        <f>(371.7*15+2*(157903.11*0.3))</f>
        <v>100317.36599999999</v>
      </c>
      <c r="F36" s="131"/>
      <c r="G36" s="27">
        <f>(371.7*150+2*(157903.11*0.3))</f>
        <v>150496.86599999998</v>
      </c>
      <c r="H36" s="27">
        <f>371.7*150+(157903.11*0.3)</f>
        <v>103125.93299999999</v>
      </c>
      <c r="I36" s="27">
        <f>(371.7*250+2*(315806.44*0.3))</f>
        <v>282408.864</v>
      </c>
      <c r="J36" s="27">
        <f>371.7*250+(315806.44*0.3)</f>
        <v>187666.932</v>
      </c>
      <c r="K36" s="27">
        <f>(371.7*670+2*(315806.44*0.3))</f>
        <v>438522.864</v>
      </c>
      <c r="L36" s="27">
        <f>371.7*670+(315806.44*0.3)</f>
        <v>343780.93200000003</v>
      </c>
    </row>
    <row r="37" spans="2:12">
      <c r="B37" s="128" t="s">
        <v>247</v>
      </c>
      <c r="C37" s="128" t="s">
        <v>56</v>
      </c>
      <c r="D37" s="8" t="s">
        <v>57</v>
      </c>
      <c r="E37" s="27">
        <f>(371.7*15+2*(315089.02*0.5)+539.96*15)</f>
        <v>328763.92000000004</v>
      </c>
      <c r="F37" s="129">
        <v>550</v>
      </c>
      <c r="G37" s="27">
        <f>(371.7*150+2*(315089.02*0.5)+539.96*150)</f>
        <v>451838.02</v>
      </c>
      <c r="H37" s="27">
        <f>371.7*150+(315089.02*0.5)+539.96*150</f>
        <v>294293.51</v>
      </c>
      <c r="I37" s="27">
        <f>(371.7*250+2*(630178.54*0.5)+1079.93*250)</f>
        <v>993086.04</v>
      </c>
      <c r="J37" s="27">
        <f>371.7*250+(630178.54*0.5)+1079.93*250</f>
        <v>677996.77</v>
      </c>
      <c r="K37" s="27">
        <f>(371.7*670+2*(630178.54*0.5)+1079.93*670)</f>
        <v>1602770.6400000001</v>
      </c>
      <c r="L37" s="27">
        <f>371.7*670+(630178.54*0.5)+1079.93*670</f>
        <v>1287681.3700000001</v>
      </c>
    </row>
    <row r="38" spans="2:12">
      <c r="B38" s="128"/>
      <c r="C38" s="128"/>
      <c r="D38" s="8" t="s">
        <v>58</v>
      </c>
      <c r="E38" s="27">
        <f>(371.7*15+2*(157903.11*0.5)+539.96*15)</f>
        <v>171578.00999999998</v>
      </c>
      <c r="F38" s="131"/>
      <c r="G38" s="27">
        <f>(371.7*150+2*(157903.11*0.5)+539.96*150)</f>
        <v>294652.11</v>
      </c>
      <c r="H38" s="27">
        <f>371.7*150+(157903.11*0.5)+539.96*150</f>
        <v>215700.55499999999</v>
      </c>
      <c r="I38" s="27">
        <f>(371.7*250+2*(315806.44*0.5)+1079.93*250)</f>
        <v>678713.94</v>
      </c>
      <c r="J38" s="27">
        <f>371.7*250+(315806.44*0.5)+1079.93*250</f>
        <v>520810.72</v>
      </c>
      <c r="K38" s="27">
        <f>(371.7*670+2*(315806.44*0.5)+1079.93*670)</f>
        <v>1288398.54</v>
      </c>
      <c r="L38" s="27">
        <f>371.7*670+(315806.44*0.5)+1079.93*670</f>
        <v>1130495.32</v>
      </c>
    </row>
    <row r="39" spans="2:12">
      <c r="B39" s="128"/>
      <c r="C39" s="128" t="s">
        <v>59</v>
      </c>
      <c r="D39" s="8" t="s">
        <v>57</v>
      </c>
      <c r="E39" s="27">
        <f>(371.7*15+2*(315089.02*0.5))</f>
        <v>320664.52</v>
      </c>
      <c r="F39" s="129">
        <v>550</v>
      </c>
      <c r="G39" s="27">
        <f>(371.7*150+2*(315089.02*0.5))</f>
        <v>370844.02</v>
      </c>
      <c r="H39" s="27">
        <f>371.7*150+(315089.02*0.5)</f>
        <v>213299.51</v>
      </c>
      <c r="I39" s="27">
        <f>(371.7*250+2*(630178.54*0.5))</f>
        <v>723103.54</v>
      </c>
      <c r="J39" s="27">
        <f>371.7*250+(630178.54*0.5)</f>
        <v>408014.27</v>
      </c>
      <c r="K39" s="27">
        <f>(371.7*670+2*(630178.54*0.5))</f>
        <v>879217.54</v>
      </c>
      <c r="L39" s="27">
        <f>371.7*670+(630178.54*0.5)</f>
        <v>564128.27</v>
      </c>
    </row>
    <row r="40" spans="2:12">
      <c r="B40" s="128"/>
      <c r="C40" s="128"/>
      <c r="D40" s="8" t="s">
        <v>58</v>
      </c>
      <c r="E40" s="27">
        <f>(371.7*15+2*(157903.11*0.5))</f>
        <v>163478.60999999999</v>
      </c>
      <c r="F40" s="131"/>
      <c r="G40" s="27">
        <f>(371.7*150+2*(157903.11*0.5))</f>
        <v>213658.11</v>
      </c>
      <c r="H40" s="27">
        <f>371.7*150+(157903.11*0.5)</f>
        <v>134706.55499999999</v>
      </c>
      <c r="I40" s="27">
        <f>(371.7*250+2*(315806.44*0.5))</f>
        <v>408731.44</v>
      </c>
      <c r="J40" s="27">
        <f>371.7*250+(315806.44*0.5)</f>
        <v>250828.22</v>
      </c>
      <c r="K40" s="27">
        <f>(371.7*670+2*(315806.44*0.5))</f>
        <v>564845.43999999994</v>
      </c>
      <c r="L40" s="27">
        <f>371.7*670+(315806.44*0.5)</f>
        <v>406942.22</v>
      </c>
    </row>
    <row r="41" spans="2:12">
      <c r="B41" s="128">
        <v>750</v>
      </c>
      <c r="C41" s="128" t="s">
        <v>56</v>
      </c>
      <c r="D41" s="8" t="s">
        <v>57</v>
      </c>
      <c r="E41" s="27">
        <f>(371.7*15+2*(315089.02*0.75)+539.96*15)</f>
        <v>486308.43000000005</v>
      </c>
      <c r="F41" s="27">
        <f>371.7*15+(315089.02*0.75)+539.96*15</f>
        <v>249991.66500000001</v>
      </c>
      <c r="G41" s="27">
        <f>(371.7*150+2*(315089.02*0.75)+539.96*150)</f>
        <v>609382.53</v>
      </c>
      <c r="H41" s="27">
        <f>371.7*150+(315089.02*0.75)+539.96*150</f>
        <v>373065.76500000001</v>
      </c>
      <c r="I41" s="27">
        <f>(371.7*250+2*(630178.54*0.75)+1079.93*250)</f>
        <v>1308175.31</v>
      </c>
      <c r="J41" s="27">
        <f>371.7*250+(630178.54*0.75)+1079.93*250</f>
        <v>835541.40500000003</v>
      </c>
      <c r="K41" s="27">
        <f>(371.7*670+2*(630178.54*0.75)+1079.93*670)</f>
        <v>1917859.9100000001</v>
      </c>
      <c r="L41" s="27">
        <f>371.7*670+(630178.54*0.75)+1079.93*670</f>
        <v>1445226.0050000001</v>
      </c>
    </row>
    <row r="42" spans="2:12">
      <c r="B42" s="128"/>
      <c r="C42" s="128"/>
      <c r="D42" s="8" t="s">
        <v>58</v>
      </c>
      <c r="E42" s="27">
        <f>(371.7*15+2*(157903.11*0.75)+539.96*15)</f>
        <v>250529.56499999997</v>
      </c>
      <c r="F42" s="27">
        <f>371.7*15+(157903.11*0.75)+539.96*15</f>
        <v>132102.23249999998</v>
      </c>
      <c r="G42" s="27">
        <f>(371.7*150+2*(157903.11*0.75)+539.96*150)</f>
        <v>373603.66499999998</v>
      </c>
      <c r="H42" s="27">
        <f>371.7*150+(157903.11*0.75)+539.96*150</f>
        <v>255176.33249999999</v>
      </c>
      <c r="I42" s="27">
        <f>(371.7*250+2*(315806.44*0.75)+1079.93*250)</f>
        <v>836617.16</v>
      </c>
      <c r="J42" s="27">
        <f>371.7*250+(315806.44*0.75)+1079.93*250</f>
        <v>599762.33000000007</v>
      </c>
      <c r="K42" s="27">
        <f>(371.7*670+2*(315806.44*0.75)+1079.93*670)</f>
        <v>1446301.7600000002</v>
      </c>
      <c r="L42" s="27">
        <f>371.7*670+(315806.44*0.75)+1079.93*670</f>
        <v>1209446.9300000002</v>
      </c>
    </row>
    <row r="43" spans="2:12">
      <c r="B43" s="128"/>
      <c r="C43" s="128" t="s">
        <v>59</v>
      </c>
      <c r="D43" s="8" t="s">
        <v>57</v>
      </c>
      <c r="E43" s="27">
        <f>(371.7*15+2*(315089.02*0.75))</f>
        <v>478209.03</v>
      </c>
      <c r="F43" s="27">
        <f>371.7*15+(315089.02*0.75)</f>
        <v>241892.26500000001</v>
      </c>
      <c r="G43" s="27">
        <f>(371.7*150+2*(315089.02*0.75))</f>
        <v>528388.53</v>
      </c>
      <c r="H43" s="27">
        <f>371.7*150+(315089.02*0.75)</f>
        <v>292071.76500000001</v>
      </c>
      <c r="I43" s="27">
        <f>(371.7*250+2*(630178.54*0.75))</f>
        <v>1038192.81</v>
      </c>
      <c r="J43" s="27">
        <f>371.7*250+(630178.54*0.75)</f>
        <v>565558.90500000003</v>
      </c>
      <c r="K43" s="27">
        <f>(371.7*670+2*(630178.54*0.75))</f>
        <v>1194306.81</v>
      </c>
      <c r="L43" s="27">
        <f>371.7*670+(630178.54*0.75)</f>
        <v>721672.90500000003</v>
      </c>
    </row>
    <row r="44" spans="2:12">
      <c r="B44" s="128"/>
      <c r="C44" s="128"/>
      <c r="D44" s="8" t="s">
        <v>58</v>
      </c>
      <c r="E44" s="27">
        <f>(371.7*15+2*(157903.11*0.75))</f>
        <v>242430.16499999998</v>
      </c>
      <c r="F44" s="27">
        <f>371.7*15+(157903.11*0.75)</f>
        <v>124002.83249999999</v>
      </c>
      <c r="G44" s="27">
        <f>(371.7*150+2*(157903.11*0.75))</f>
        <v>292609.66499999998</v>
      </c>
      <c r="H44" s="27">
        <f>371.7*150+(157903.11*0.75)</f>
        <v>174182.33249999999</v>
      </c>
      <c r="I44" s="27">
        <f>(371.7*250+2*(315806.44*0.75))</f>
        <v>566634.66</v>
      </c>
      <c r="J44" s="27">
        <f>371.7*250+(315806.44*0.75)</f>
        <v>329779.83</v>
      </c>
      <c r="K44" s="27">
        <f>(371.7*670+2*(315806.44*0.75))</f>
        <v>722748.66</v>
      </c>
      <c r="L44" s="27">
        <f>371.7*670+(315806.44*0.75)</f>
        <v>485893.83</v>
      </c>
    </row>
    <row r="45" spans="2:12">
      <c r="B45" s="128">
        <v>1000</v>
      </c>
      <c r="C45" s="128" t="s">
        <v>56</v>
      </c>
      <c r="D45" s="8" t="s">
        <v>57</v>
      </c>
      <c r="E45" s="27">
        <f>(371.7*15+2*(315089.02*1)+539.96*15)</f>
        <v>643852.94000000006</v>
      </c>
      <c r="F45" s="27">
        <f>371.7*15+(315089.02*1)+539.96*15</f>
        <v>328763.92000000004</v>
      </c>
      <c r="G45" s="27">
        <f>(371.7*150+2*(315089.02*1)+539.96*150)</f>
        <v>766927.04</v>
      </c>
      <c r="H45" s="27">
        <f>371.7*150+(315089.02*1)+539.96*150</f>
        <v>451838.02</v>
      </c>
      <c r="I45" s="27">
        <f>(371.7*250+2*(630178.54*1)+1079.93*250)</f>
        <v>1623264.58</v>
      </c>
      <c r="J45" s="27">
        <f>371.7*250+(630178.54*1)+1079.93*250</f>
        <v>993086.04</v>
      </c>
      <c r="K45" s="27">
        <f>(371.7*670+2*(630178.54*1)+1079.93*670)</f>
        <v>2232949.1800000002</v>
      </c>
      <c r="L45" s="27">
        <f>371.7*670+(630178.54*1)+1079.93*670</f>
        <v>1602770.6400000001</v>
      </c>
    </row>
    <row r="46" spans="2:12">
      <c r="B46" s="128"/>
      <c r="C46" s="128"/>
      <c r="D46" s="8" t="s">
        <v>58</v>
      </c>
      <c r="E46" s="27">
        <f>(371.7*15+2*(157903.11*1)+539.96*15)</f>
        <v>329481.12</v>
      </c>
      <c r="F46" s="27">
        <f>371.7*15+(157903.11*1)+539.96*15</f>
        <v>171578.00999999998</v>
      </c>
      <c r="G46" s="27">
        <f>(371.7*150+2*(157903.11*1)+539.96*150)</f>
        <v>452555.22</v>
      </c>
      <c r="H46" s="27">
        <f>371.7*150+(157903.11*1)+539.96*150</f>
        <v>294652.11</v>
      </c>
      <c r="I46" s="27">
        <f>(371.7*250+2*(315806.44*1)+1079.93*250)</f>
        <v>994520.38</v>
      </c>
      <c r="J46" s="27">
        <f>371.7*250+(315806.44*1)+1079.93*250</f>
        <v>678713.94</v>
      </c>
      <c r="K46" s="27">
        <f>(371.7*670+2*(315806.44*1)+1079.93*670)</f>
        <v>1604204.98</v>
      </c>
      <c r="L46" s="27">
        <f>371.7*670+(315806.44*1)+1079.93*670</f>
        <v>1288398.54</v>
      </c>
    </row>
    <row r="47" spans="2:12">
      <c r="B47" s="128"/>
      <c r="C47" s="128" t="s">
        <v>59</v>
      </c>
      <c r="D47" s="8" t="s">
        <v>57</v>
      </c>
      <c r="E47" s="27">
        <f>(371.7*15+2*(315089.02*1))</f>
        <v>635753.54</v>
      </c>
      <c r="F47" s="27">
        <f>371.7*15+(315089.02*1)</f>
        <v>320664.52</v>
      </c>
      <c r="G47" s="27">
        <f>(371.7*150+2*(315089.02*1))</f>
        <v>685933.04</v>
      </c>
      <c r="H47" s="27">
        <f>371.7*150+(315089.02*1)</f>
        <v>370844.02</v>
      </c>
      <c r="I47" s="27">
        <f>(371.7*250+2*(630178.54*1))</f>
        <v>1353282.08</v>
      </c>
      <c r="J47" s="27">
        <f>371.7*250+(630178.54*1)</f>
        <v>723103.54</v>
      </c>
      <c r="K47" s="27">
        <f>(371.7*670+2*(630178.54*1))</f>
        <v>1509396.08</v>
      </c>
      <c r="L47" s="27">
        <f>371.7*250+(630178.54*1)</f>
        <v>723103.54</v>
      </c>
    </row>
    <row r="48" spans="2:12">
      <c r="B48" s="128"/>
      <c r="C48" s="128"/>
      <c r="D48" s="8" t="s">
        <v>58</v>
      </c>
      <c r="E48" s="27">
        <f>(371.7*15+2*(157903.11*1))</f>
        <v>321381.71999999997</v>
      </c>
      <c r="F48" s="27">
        <f>371.7*15+(157903.11*1)</f>
        <v>163478.60999999999</v>
      </c>
      <c r="G48" s="27">
        <f>(371.7*150+2*(157903.11*1))</f>
        <v>371561.22</v>
      </c>
      <c r="H48" s="27">
        <f>371.7*150+(157903.11*1)</f>
        <v>213658.11</v>
      </c>
      <c r="I48" s="27">
        <f>(371.7*250+2*(315806.44*1))</f>
        <v>724537.88</v>
      </c>
      <c r="J48" s="27">
        <f>371.7*250+(315806.44*1)</f>
        <v>408731.44</v>
      </c>
      <c r="K48" s="27">
        <f>(371.7*670+2*(315806.44*1))</f>
        <v>880651.88</v>
      </c>
      <c r="L48" s="27">
        <f>371.7*250+(315806.44*1)</f>
        <v>408731.44</v>
      </c>
    </row>
    <row r="49" spans="2:12">
      <c r="B49" s="128">
        <v>1250</v>
      </c>
      <c r="C49" s="128" t="s">
        <v>56</v>
      </c>
      <c r="D49" s="8" t="s">
        <v>57</v>
      </c>
      <c r="E49" s="27">
        <f>(371.7*15+2*(315089.02*1.25)+539.96*15)</f>
        <v>801397.45000000007</v>
      </c>
      <c r="F49" s="27">
        <f>371.7*15+(315089.02*1.25)+539.96*15</f>
        <v>407536.17500000005</v>
      </c>
      <c r="G49" s="27">
        <f>(371.7*150+2*(315089.02*1.25)+539.96*150)</f>
        <v>924471.55</v>
      </c>
      <c r="H49" s="27">
        <f>371.7*150+(315089.02*1.25)+539.96*150</f>
        <v>530610.27500000002</v>
      </c>
      <c r="I49" s="27">
        <f>(371.7*250+2*(630178.54*1.25)+1079.93*250)</f>
        <v>1938353.85</v>
      </c>
      <c r="J49" s="27">
        <f>371.7*250+(630178.54*1.25)+1079.93*250</f>
        <v>1150630.675</v>
      </c>
      <c r="K49" s="27">
        <f>(371.7*670+2*(630178.54*1.25)+1079.93*670)</f>
        <v>2548038.4500000002</v>
      </c>
      <c r="L49" s="27">
        <f>371.7*670+(630178.54*1.25)+1079.93*670</f>
        <v>1760315.2750000001</v>
      </c>
    </row>
    <row r="50" spans="2:12">
      <c r="B50" s="128"/>
      <c r="C50" s="128"/>
      <c r="D50" s="8" t="s">
        <v>58</v>
      </c>
      <c r="E50" s="27">
        <f>(371.7*15+2*(157903.11*1.25)+539.96*15)</f>
        <v>408432.67499999999</v>
      </c>
      <c r="F50" s="27">
        <f>371.7*15+(157903.11*1.25)+539.96*15</f>
        <v>211053.78749999998</v>
      </c>
      <c r="G50" s="27">
        <f>(371.7*150+2*(157903.11*1.25)+539.96*150)</f>
        <v>531506.77499999991</v>
      </c>
      <c r="H50" s="27">
        <f>371.7*150+(157903.11*1.25)+539.96*150</f>
        <v>334127.88749999995</v>
      </c>
      <c r="I50" s="27">
        <f>(371.7*250+2*(315806.44*1.25)+1079.93*250)</f>
        <v>1152423.6000000001</v>
      </c>
      <c r="J50" s="27">
        <f>371.7*250+(315806.44*1.25)+1079.93*250</f>
        <v>757665.55</v>
      </c>
      <c r="K50" s="27">
        <f>(371.7*670+2*(315806.44*1.25)+1079.93*670)</f>
        <v>1762108.2000000002</v>
      </c>
      <c r="L50" s="27">
        <f>371.7*670+(315806.44*1.25)+1079.93*670</f>
        <v>1367350.1500000001</v>
      </c>
    </row>
    <row r="51" spans="2:12">
      <c r="B51" s="128"/>
      <c r="C51" s="128" t="s">
        <v>59</v>
      </c>
      <c r="D51" s="8" t="s">
        <v>57</v>
      </c>
      <c r="E51" s="27">
        <f>(371.7*15+2*(315089.02*1.25))</f>
        <v>793298.05</v>
      </c>
      <c r="F51" s="27">
        <f>371.7*15+(315089.02*1.25)</f>
        <v>399436.77500000002</v>
      </c>
      <c r="G51" s="27">
        <f>(371.7*150+2*(315089.02*1.25))</f>
        <v>843477.55</v>
      </c>
      <c r="H51" s="27">
        <f>371.7*150+(315089.02*1.25)</f>
        <v>449616.27500000002</v>
      </c>
      <c r="I51" s="27">
        <f>(371.7*250+2*(630178.54*1.25))</f>
        <v>1668371.35</v>
      </c>
      <c r="J51" s="27">
        <f>371.7*250+(630178.54*1.25)</f>
        <v>880648.17500000005</v>
      </c>
      <c r="K51" s="27">
        <f>(371.7*670+2*(630178.54*1.25))</f>
        <v>1824485.35</v>
      </c>
      <c r="L51" s="27">
        <f>371.7*250+(630178.54*1.25)</f>
        <v>880648.17500000005</v>
      </c>
    </row>
    <row r="52" spans="2:12">
      <c r="B52" s="128"/>
      <c r="C52" s="128"/>
      <c r="D52" s="8" t="s">
        <v>58</v>
      </c>
      <c r="E52" s="27">
        <f>(371.7*15+2*(157903.11*1.25))</f>
        <v>400333.27499999997</v>
      </c>
      <c r="F52" s="27">
        <f>371.7*15+(157903.11*1.25)</f>
        <v>202954.38749999998</v>
      </c>
      <c r="G52" s="27">
        <f>(371.7*150+2*(157903.11*1.25))</f>
        <v>450512.77499999997</v>
      </c>
      <c r="H52" s="27">
        <f>371.7*150+(157903.11*1.25)</f>
        <v>253133.88749999998</v>
      </c>
      <c r="I52" s="27">
        <f>(371.7*250+2*(315806.44*1.25))</f>
        <v>882441.1</v>
      </c>
      <c r="J52" s="27">
        <f>371.7*250+(315806.44*1.25)</f>
        <v>487683.05</v>
      </c>
      <c r="K52" s="27">
        <f>(371.7*670+2*(315806.44*1.25))</f>
        <v>1038555.1</v>
      </c>
      <c r="L52" s="27">
        <f>371.7*250+(315806.44*1.25)</f>
        <v>487683.05</v>
      </c>
    </row>
    <row r="54" spans="2:12">
      <c r="B54" s="28" t="s">
        <v>248</v>
      </c>
      <c r="C54" s="6"/>
      <c r="D54" s="29"/>
    </row>
  </sheetData>
  <mergeCells count="45">
    <mergeCell ref="B49:B52"/>
    <mergeCell ref="C49:C50"/>
    <mergeCell ref="C51:C52"/>
    <mergeCell ref="B45:B48"/>
    <mergeCell ref="C47:C48"/>
    <mergeCell ref="E30:F30"/>
    <mergeCell ref="G30:H30"/>
    <mergeCell ref="I30:J30"/>
    <mergeCell ref="C33:C34"/>
    <mergeCell ref="C35:C36"/>
    <mergeCell ref="A28:R28"/>
    <mergeCell ref="A3:R3"/>
    <mergeCell ref="A4:R4"/>
    <mergeCell ref="A8:R8"/>
    <mergeCell ref="R11:R12"/>
    <mergeCell ref="A5:R5"/>
    <mergeCell ref="A6:R6"/>
    <mergeCell ref="A7:R7"/>
    <mergeCell ref="A29:R29"/>
    <mergeCell ref="C45:C46"/>
    <mergeCell ref="F33:F34"/>
    <mergeCell ref="F35:F36"/>
    <mergeCell ref="F37:F38"/>
    <mergeCell ref="F39:F40"/>
    <mergeCell ref="B33:B36"/>
    <mergeCell ref="K30:L30"/>
    <mergeCell ref="B37:B40"/>
    <mergeCell ref="C37:C38"/>
    <mergeCell ref="C39:C40"/>
    <mergeCell ref="B41:B44"/>
    <mergeCell ref="C41:C42"/>
    <mergeCell ref="C43:C44"/>
    <mergeCell ref="B31:D31"/>
    <mergeCell ref="B30:D30"/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  <pageSetup paperSize="9" scale="32" orientation="landscape" horizontalDpi="180" verticalDpi="180" r:id="rId1"/>
  <ignoredErrors>
    <ignoredError sqref="K47:K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66"/>
  <sheetViews>
    <sheetView view="pageBreakPreview" zoomScale="85" zoomScaleSheetLayoutView="85" workbookViewId="0">
      <selection activeCell="O9" sqref="O9"/>
    </sheetView>
  </sheetViews>
  <sheetFormatPr defaultColWidth="12.28515625" defaultRowHeight="15"/>
  <cols>
    <col min="1" max="1" width="5.85546875" style="5" customWidth="1"/>
    <col min="2" max="2" width="27" style="4" customWidth="1"/>
    <col min="3" max="3" width="17.28515625" style="4" customWidth="1"/>
    <col min="4" max="4" width="13.5703125" style="4" customWidth="1"/>
    <col min="5" max="5" width="12.28515625" style="4"/>
    <col min="6" max="6" width="9.42578125" style="4" customWidth="1"/>
    <col min="7" max="7" width="17" style="4" customWidth="1"/>
    <col min="8" max="8" width="13.5703125" style="4" customWidth="1"/>
    <col min="9" max="9" width="10" style="4" customWidth="1"/>
    <col min="10" max="10" width="12.140625" style="4" customWidth="1"/>
    <col min="11" max="11" width="14.140625" style="4" customWidth="1"/>
    <col min="12" max="12" width="9.140625" style="4" customWidth="1"/>
    <col min="13" max="13" width="9.5703125" style="4" customWidth="1"/>
    <col min="14" max="14" width="10.7109375" style="4" customWidth="1"/>
    <col min="15" max="16384" width="12.28515625" style="4"/>
  </cols>
  <sheetData>
    <row r="1" spans="1:17" ht="15.75">
      <c r="A1" s="135" t="s">
        <v>240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3" spans="1:17" s="15" customFormat="1" ht="51" customHeight="1">
      <c r="A3" s="124" t="s">
        <v>130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s="16" customFormat="1" ht="12.75">
      <c r="A4" s="138" t="s">
        <v>132</v>
      </c>
      <c r="B4" s="136" t="s">
        <v>60</v>
      </c>
      <c r="C4" s="136" t="s">
        <v>61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 s="16" customFormat="1" ht="36" customHeight="1">
      <c r="A5" s="138"/>
      <c r="B5" s="136"/>
      <c r="C5" s="137" t="s">
        <v>62</v>
      </c>
      <c r="D5" s="137"/>
      <c r="E5" s="137"/>
      <c r="F5" s="137" t="s">
        <v>63</v>
      </c>
      <c r="G5" s="137"/>
      <c r="H5" s="137"/>
      <c r="I5" s="137" t="s">
        <v>64</v>
      </c>
      <c r="J5" s="137"/>
      <c r="K5" s="137"/>
      <c r="L5" s="137" t="s">
        <v>65</v>
      </c>
      <c r="M5" s="137"/>
      <c r="N5" s="137"/>
      <c r="O5" s="137" t="s">
        <v>66</v>
      </c>
      <c r="P5" s="137"/>
      <c r="Q5" s="137"/>
    </row>
    <row r="6" spans="1:17" s="16" customFormat="1" ht="51.75" customHeight="1">
      <c r="A6" s="138"/>
      <c r="B6" s="136"/>
      <c r="C6" s="13" t="s">
        <v>3</v>
      </c>
      <c r="D6" s="13" t="s">
        <v>131</v>
      </c>
      <c r="E6" s="13" t="s">
        <v>5</v>
      </c>
      <c r="F6" s="13" t="s">
        <v>3</v>
      </c>
      <c r="G6" s="13" t="s">
        <v>131</v>
      </c>
      <c r="H6" s="13" t="s">
        <v>5</v>
      </c>
      <c r="I6" s="13" t="s">
        <v>3</v>
      </c>
      <c r="J6" s="13" t="s">
        <v>131</v>
      </c>
      <c r="K6" s="13" t="s">
        <v>5</v>
      </c>
      <c r="L6" s="13" t="s">
        <v>3</v>
      </c>
      <c r="M6" s="13" t="s">
        <v>131</v>
      </c>
      <c r="N6" s="13" t="s">
        <v>5</v>
      </c>
      <c r="O6" s="13" t="s">
        <v>3</v>
      </c>
      <c r="P6" s="13" t="s">
        <v>131</v>
      </c>
      <c r="Q6" s="13" t="s">
        <v>5</v>
      </c>
    </row>
    <row r="7" spans="1:17" s="16" customFormat="1" ht="12.75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</row>
    <row r="8" spans="1:17" s="16" customFormat="1" ht="25.5">
      <c r="A8" s="17">
        <v>1</v>
      </c>
      <c r="B8" s="18" t="s">
        <v>67</v>
      </c>
      <c r="C8" s="13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90">
        <v>1</v>
      </c>
      <c r="M8" s="13">
        <v>1</v>
      </c>
      <c r="N8" s="13">
        <v>1</v>
      </c>
      <c r="O8" s="13">
        <v>0</v>
      </c>
      <c r="P8" s="32">
        <v>0</v>
      </c>
      <c r="Q8" s="32">
        <v>0</v>
      </c>
    </row>
    <row r="9" spans="1:17" s="15" customFormat="1" ht="25.5">
      <c r="A9" s="17" t="s">
        <v>133</v>
      </c>
      <c r="B9" s="19" t="s">
        <v>68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90">
        <v>1</v>
      </c>
      <c r="M9" s="13">
        <v>1</v>
      </c>
      <c r="N9" s="13">
        <v>0</v>
      </c>
      <c r="O9" s="32">
        <v>0</v>
      </c>
      <c r="P9" s="32">
        <v>0</v>
      </c>
      <c r="Q9" s="32">
        <v>0</v>
      </c>
    </row>
    <row r="10" spans="1:17" s="15" customFormat="1" ht="38.25">
      <c r="A10" s="17" t="s">
        <v>134</v>
      </c>
      <c r="B10" s="19" t="s">
        <v>69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90">
        <v>0</v>
      </c>
      <c r="M10" s="13">
        <v>0</v>
      </c>
      <c r="N10" s="32">
        <v>0</v>
      </c>
      <c r="O10" s="32">
        <v>0</v>
      </c>
      <c r="P10" s="32">
        <v>0</v>
      </c>
      <c r="Q10" s="32">
        <v>0</v>
      </c>
    </row>
    <row r="11" spans="1:17" s="15" customFormat="1" ht="25.5">
      <c r="A11" s="17" t="s">
        <v>135</v>
      </c>
      <c r="B11" s="19" t="s">
        <v>70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90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</row>
    <row r="12" spans="1:17" s="15" customFormat="1" ht="12.75">
      <c r="A12" s="17" t="s">
        <v>136</v>
      </c>
      <c r="B12" s="19" t="s">
        <v>71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90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</row>
    <row r="13" spans="1:17" s="15" customFormat="1" ht="25.5">
      <c r="A13" s="17" t="s">
        <v>137</v>
      </c>
      <c r="B13" s="19" t="s">
        <v>72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90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</row>
    <row r="14" spans="1:17" s="15" customFormat="1" ht="12.75">
      <c r="A14" s="17" t="s">
        <v>138</v>
      </c>
      <c r="B14" s="19" t="s">
        <v>73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90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</row>
    <row r="15" spans="1:17" s="15" customFormat="1" ht="12.75">
      <c r="A15" s="17" t="s">
        <v>139</v>
      </c>
      <c r="B15" s="19" t="s">
        <v>74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90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</row>
    <row r="16" spans="1:17" s="15" customFormat="1" ht="38.25">
      <c r="A16" s="17" t="s">
        <v>140</v>
      </c>
      <c r="B16" s="19" t="s">
        <v>75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90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</row>
    <row r="17" spans="1:17" s="15" customFormat="1" ht="25.5">
      <c r="A17" s="17" t="s">
        <v>141</v>
      </c>
      <c r="B17" s="19" t="s">
        <v>76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90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</row>
    <row r="18" spans="1:17" s="15" customFormat="1" ht="25.5">
      <c r="A18" s="17" t="s">
        <v>142</v>
      </c>
      <c r="B18" s="19" t="s">
        <v>77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90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</row>
    <row r="19" spans="1:17" s="15" customFormat="1" ht="38.25">
      <c r="A19" s="17" t="s">
        <v>143</v>
      </c>
      <c r="B19" s="19" t="s">
        <v>69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90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</row>
    <row r="20" spans="1:17" s="15" customFormat="1" ht="25.5">
      <c r="A20" s="17" t="s">
        <v>144</v>
      </c>
      <c r="B20" s="19" t="s">
        <v>70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90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</row>
    <row r="21" spans="1:17" s="15" customFormat="1" ht="12.75">
      <c r="A21" s="17" t="s">
        <v>145</v>
      </c>
      <c r="B21" s="19" t="s">
        <v>71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90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</row>
    <row r="22" spans="1:17" s="15" customFormat="1" ht="38.25">
      <c r="A22" s="17" t="s">
        <v>146</v>
      </c>
      <c r="B22" s="19" t="s">
        <v>78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90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</row>
    <row r="23" spans="1:17" s="15" customFormat="1" ht="12.75">
      <c r="A23" s="17" t="s">
        <v>147</v>
      </c>
      <c r="B23" s="19" t="s">
        <v>73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90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</row>
    <row r="24" spans="1:17" s="15" customFormat="1" ht="12.75">
      <c r="A24" s="17" t="s">
        <v>149</v>
      </c>
      <c r="B24" s="19" t="s">
        <v>148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90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</row>
    <row r="25" spans="1:17" s="15" customFormat="1" ht="25.5">
      <c r="A25" s="17" t="s">
        <v>150</v>
      </c>
      <c r="B25" s="19" t="s">
        <v>26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90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</row>
    <row r="26" spans="1:17" s="15" customFormat="1" ht="38.25">
      <c r="A26" s="17" t="s">
        <v>151</v>
      </c>
      <c r="B26" s="19" t="s">
        <v>79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90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</row>
    <row r="27" spans="1:17" s="15" customFormat="1" ht="25.5">
      <c r="A27" s="17" t="s">
        <v>152</v>
      </c>
      <c r="B27" s="19" t="s">
        <v>80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90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</row>
    <row r="28" spans="1:17" s="15" customFormat="1" ht="12.75">
      <c r="A28" s="17" t="s">
        <v>153</v>
      </c>
      <c r="B28" s="19" t="s">
        <v>73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90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</row>
    <row r="29" spans="1:17" s="15" customFormat="1" ht="12.75">
      <c r="A29" s="20"/>
    </row>
    <row r="30" spans="1:17" s="15" customFormat="1" ht="12.75">
      <c r="A30" s="124" t="s">
        <v>81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1:17" s="16" customFormat="1" ht="159" customHeight="1">
      <c r="A31" s="17" t="s">
        <v>132</v>
      </c>
      <c r="B31" s="13" t="s">
        <v>82</v>
      </c>
      <c r="C31" s="13" t="s">
        <v>83</v>
      </c>
      <c r="D31" s="13" t="s">
        <v>84</v>
      </c>
      <c r="E31" s="13" t="s">
        <v>85</v>
      </c>
      <c r="F31" s="13" t="s">
        <v>86</v>
      </c>
      <c r="G31" s="13" t="s">
        <v>87</v>
      </c>
      <c r="H31" s="13" t="s">
        <v>88</v>
      </c>
      <c r="I31" s="13" t="s">
        <v>89</v>
      </c>
      <c r="J31" s="13" t="s">
        <v>90</v>
      </c>
      <c r="K31" s="13" t="s">
        <v>91</v>
      </c>
    </row>
    <row r="32" spans="1:17" s="15" customFormat="1" ht="12.75">
      <c r="A32" s="21">
        <v>1</v>
      </c>
      <c r="B32" s="13">
        <v>2</v>
      </c>
      <c r="C32" s="21">
        <v>3</v>
      </c>
      <c r="D32" s="13">
        <v>4</v>
      </c>
      <c r="E32" s="21">
        <v>5</v>
      </c>
      <c r="F32" s="13">
        <v>6</v>
      </c>
      <c r="G32" s="21">
        <v>7</v>
      </c>
      <c r="H32" s="13">
        <v>8</v>
      </c>
      <c r="I32" s="21">
        <v>9</v>
      </c>
      <c r="J32" s="13">
        <v>10</v>
      </c>
      <c r="K32" s="21">
        <v>11</v>
      </c>
    </row>
    <row r="33" spans="1:17" s="15" customFormat="1" ht="98.25" customHeight="1">
      <c r="A33" s="17" t="s">
        <v>155</v>
      </c>
      <c r="B33" s="139" t="s">
        <v>157</v>
      </c>
      <c r="C33" s="19" t="s">
        <v>205</v>
      </c>
      <c r="D33" s="19" t="s">
        <v>158</v>
      </c>
      <c r="E33" s="19" t="s">
        <v>237</v>
      </c>
      <c r="F33" s="22" t="s">
        <v>204</v>
      </c>
      <c r="G33" s="139" t="s">
        <v>119</v>
      </c>
      <c r="H33" s="13" t="s">
        <v>154</v>
      </c>
      <c r="I33" s="13" t="s">
        <v>154</v>
      </c>
      <c r="J33" s="13" t="s">
        <v>154</v>
      </c>
      <c r="K33" s="13" t="s">
        <v>154</v>
      </c>
    </row>
    <row r="34" spans="1:17" s="15" customFormat="1" ht="183.75" customHeight="1">
      <c r="A34" s="17" t="s">
        <v>139</v>
      </c>
      <c r="B34" s="140"/>
      <c r="C34" s="19" t="s">
        <v>206</v>
      </c>
      <c r="D34" s="141" t="s">
        <v>238</v>
      </c>
      <c r="E34" s="141"/>
      <c r="F34" s="22" t="s">
        <v>120</v>
      </c>
      <c r="G34" s="140"/>
      <c r="H34" s="13" t="s">
        <v>154</v>
      </c>
      <c r="I34" s="13" t="s">
        <v>154</v>
      </c>
      <c r="J34" s="13" t="s">
        <v>154</v>
      </c>
      <c r="K34" s="13" t="s">
        <v>154</v>
      </c>
    </row>
    <row r="35" spans="1:17" s="15" customFormat="1" ht="12.75">
      <c r="A35" s="20"/>
    </row>
    <row r="36" spans="1:17" s="15" customFormat="1" ht="12.75">
      <c r="A36" s="124" t="s">
        <v>159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</row>
    <row r="37" spans="1:17" s="15" customFormat="1" ht="12.75">
      <c r="A37" s="20"/>
    </row>
    <row r="38" spans="1:17" s="15" customFormat="1" ht="12.75">
      <c r="A38" s="17" t="s">
        <v>132</v>
      </c>
      <c r="B38" s="13" t="s">
        <v>92</v>
      </c>
      <c r="C38" s="19"/>
      <c r="D38" s="19"/>
    </row>
    <row r="39" spans="1:17" s="15" customFormat="1" ht="89.25">
      <c r="A39" s="17" t="s">
        <v>155</v>
      </c>
      <c r="B39" s="19" t="s">
        <v>160</v>
      </c>
      <c r="C39" s="19" t="s">
        <v>93</v>
      </c>
      <c r="D39" s="13" t="s">
        <v>239</v>
      </c>
    </row>
    <row r="40" spans="1:17" s="15" customFormat="1" ht="51">
      <c r="A40" s="17" t="s">
        <v>139</v>
      </c>
      <c r="B40" s="19" t="s">
        <v>161</v>
      </c>
      <c r="C40" s="19" t="s">
        <v>94</v>
      </c>
      <c r="D40" s="13" t="s">
        <v>154</v>
      </c>
    </row>
    <row r="41" spans="1:17" s="15" customFormat="1" ht="51">
      <c r="A41" s="17" t="s">
        <v>140</v>
      </c>
      <c r="B41" s="19" t="s">
        <v>95</v>
      </c>
      <c r="C41" s="19" t="s">
        <v>94</v>
      </c>
      <c r="D41" s="13" t="s">
        <v>154</v>
      </c>
    </row>
    <row r="42" spans="1:17" s="15" customFormat="1" ht="63.75">
      <c r="A42" s="17" t="s">
        <v>143</v>
      </c>
      <c r="B42" s="19" t="s">
        <v>96</v>
      </c>
      <c r="C42" s="19" t="s">
        <v>94</v>
      </c>
      <c r="D42" s="13" t="s">
        <v>154</v>
      </c>
    </row>
    <row r="43" spans="1:17" s="15" customFormat="1" ht="63.75">
      <c r="A43" s="17" t="s">
        <v>149</v>
      </c>
      <c r="B43" s="19" t="s">
        <v>97</v>
      </c>
      <c r="C43" s="19" t="s">
        <v>162</v>
      </c>
      <c r="D43" s="13" t="s">
        <v>154</v>
      </c>
    </row>
    <row r="44" spans="1:17" s="15" customFormat="1" ht="63.75">
      <c r="A44" s="17" t="s">
        <v>156</v>
      </c>
      <c r="B44" s="19" t="s">
        <v>98</v>
      </c>
      <c r="C44" s="19" t="s">
        <v>162</v>
      </c>
      <c r="D44" s="13" t="s">
        <v>154</v>
      </c>
    </row>
    <row r="45" spans="1:17" s="15" customFormat="1" ht="12.75">
      <c r="A45" s="20"/>
    </row>
    <row r="46" spans="1:17" s="14" customFormat="1" ht="54" customHeight="1">
      <c r="A46" s="124" t="s">
        <v>163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7" s="15" customFormat="1" ht="15" customHeight="1">
      <c r="A47" s="124" t="s">
        <v>164</v>
      </c>
      <c r="B47" s="124"/>
      <c r="C47" s="124"/>
      <c r="D47" s="124"/>
      <c r="E47" s="124"/>
      <c r="F47" s="124"/>
      <c r="G47" s="124"/>
      <c r="H47" s="124"/>
      <c r="I47" s="124"/>
      <c r="J47" s="124"/>
    </row>
    <row r="48" spans="1:17" s="15" customFormat="1" ht="12.75">
      <c r="A48" s="20"/>
    </row>
    <row r="49" spans="1:41" s="15" customFormat="1" ht="12.75">
      <c r="A49" s="124" t="s">
        <v>165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1:41" s="15" customFormat="1" ht="38.25" customHeight="1">
      <c r="A50" s="124" t="s">
        <v>166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1:41" s="15" customFormat="1" ht="12.75">
      <c r="A51" s="134" t="s">
        <v>167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1:41" s="15" customFormat="1" ht="12.75">
      <c r="A52" s="20"/>
    </row>
    <row r="53" spans="1:41" s="15" customFormat="1" ht="35.25" customHeight="1">
      <c r="A53" s="142" t="s">
        <v>168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1:41" s="15" customFormat="1" ht="12.75">
      <c r="A54" s="143" t="s">
        <v>169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1:41" s="15" customFormat="1" ht="12.75">
      <c r="A55" s="20"/>
    </row>
    <row r="56" spans="1:41" s="15" customFormat="1" ht="12.75">
      <c r="A56" s="142" t="s">
        <v>170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</row>
    <row r="57" spans="1:41" s="15" customFormat="1" ht="12.75">
      <c r="A57" s="134" t="s">
        <v>171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</row>
    <row r="58" spans="1:41" s="15" customFormat="1" ht="12.75">
      <c r="A58" s="134" t="s">
        <v>172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</row>
    <row r="59" spans="1:41" s="15" customFormat="1" ht="12.75">
      <c r="A59" s="20"/>
    </row>
    <row r="60" spans="1:41" s="15" customFormat="1" ht="12.75">
      <c r="A60" s="124" t="s">
        <v>173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</row>
    <row r="61" spans="1:41" s="16" customFormat="1" ht="39.75" customHeight="1">
      <c r="A61" s="138" t="s">
        <v>132</v>
      </c>
      <c r="B61" s="137" t="s">
        <v>174</v>
      </c>
      <c r="C61" s="137" t="s">
        <v>175</v>
      </c>
      <c r="D61" s="137" t="s">
        <v>176</v>
      </c>
      <c r="E61" s="137" t="s">
        <v>177</v>
      </c>
      <c r="F61" s="137"/>
      <c r="G61" s="137"/>
      <c r="H61" s="137"/>
      <c r="I61" s="137" t="s">
        <v>182</v>
      </c>
      <c r="J61" s="137"/>
      <c r="K61" s="137"/>
      <c r="L61" s="137"/>
      <c r="M61" s="137"/>
      <c r="N61" s="137"/>
      <c r="O61" s="137" t="s">
        <v>188</v>
      </c>
      <c r="P61" s="137"/>
      <c r="Q61" s="137"/>
      <c r="R61" s="137"/>
      <c r="S61" s="137"/>
      <c r="T61" s="137"/>
      <c r="U61" s="137"/>
      <c r="V61" s="137" t="s">
        <v>192</v>
      </c>
      <c r="W61" s="137"/>
      <c r="X61" s="137"/>
      <c r="Y61" s="137"/>
      <c r="Z61" s="137" t="s">
        <v>196</v>
      </c>
      <c r="AA61" s="137"/>
      <c r="AB61" s="137"/>
      <c r="AC61" s="137" t="s">
        <v>200</v>
      </c>
      <c r="AD61" s="137"/>
    </row>
    <row r="62" spans="1:41" s="16" customFormat="1" ht="211.5" customHeight="1">
      <c r="A62" s="138"/>
      <c r="B62" s="137"/>
      <c r="C62" s="137"/>
      <c r="D62" s="137"/>
      <c r="E62" s="23" t="s">
        <v>178</v>
      </c>
      <c r="F62" s="23" t="s">
        <v>179</v>
      </c>
      <c r="G62" s="23" t="s">
        <v>180</v>
      </c>
      <c r="H62" s="23" t="s">
        <v>181</v>
      </c>
      <c r="I62" s="23" t="s">
        <v>183</v>
      </c>
      <c r="J62" s="23" t="s">
        <v>184</v>
      </c>
      <c r="K62" s="23" t="s">
        <v>185</v>
      </c>
      <c r="L62" s="23" t="s">
        <v>186</v>
      </c>
      <c r="M62" s="23" t="s">
        <v>187</v>
      </c>
      <c r="N62" s="23" t="s">
        <v>66</v>
      </c>
      <c r="O62" s="23" t="s">
        <v>189</v>
      </c>
      <c r="P62" s="23" t="s">
        <v>190</v>
      </c>
      <c r="Q62" s="23" t="s">
        <v>191</v>
      </c>
      <c r="R62" s="23" t="s">
        <v>185</v>
      </c>
      <c r="S62" s="23" t="s">
        <v>186</v>
      </c>
      <c r="T62" s="23" t="s">
        <v>187</v>
      </c>
      <c r="U62" s="23" t="s">
        <v>66</v>
      </c>
      <c r="V62" s="23" t="s">
        <v>193</v>
      </c>
      <c r="W62" s="23" t="s">
        <v>194</v>
      </c>
      <c r="X62" s="23" t="s">
        <v>195</v>
      </c>
      <c r="Y62" s="23" t="s">
        <v>66</v>
      </c>
      <c r="Z62" s="23" t="s">
        <v>197</v>
      </c>
      <c r="AA62" s="23" t="s">
        <v>198</v>
      </c>
      <c r="AB62" s="23" t="s">
        <v>199</v>
      </c>
      <c r="AC62" s="23" t="s">
        <v>201</v>
      </c>
      <c r="AD62" s="23" t="s">
        <v>202</v>
      </c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s="15" customFormat="1" ht="12.75">
      <c r="A63" s="21">
        <v>1</v>
      </c>
      <c r="B63" s="13">
        <v>2</v>
      </c>
      <c r="C63" s="21">
        <v>3</v>
      </c>
      <c r="D63" s="13">
        <v>4</v>
      </c>
      <c r="E63" s="21">
        <v>5</v>
      </c>
      <c r="F63" s="13">
        <v>6</v>
      </c>
      <c r="G63" s="21">
        <v>7</v>
      </c>
      <c r="H63" s="13">
        <v>8</v>
      </c>
      <c r="I63" s="21">
        <v>9</v>
      </c>
      <c r="J63" s="13">
        <v>10</v>
      </c>
      <c r="K63" s="21">
        <v>11</v>
      </c>
      <c r="L63" s="13">
        <v>12</v>
      </c>
      <c r="M63" s="21">
        <v>13</v>
      </c>
      <c r="N63" s="13">
        <v>14</v>
      </c>
      <c r="O63" s="21">
        <v>15</v>
      </c>
      <c r="P63" s="13">
        <v>16</v>
      </c>
      <c r="Q63" s="21">
        <v>17</v>
      </c>
      <c r="R63" s="13">
        <v>18</v>
      </c>
      <c r="S63" s="21">
        <v>19</v>
      </c>
      <c r="T63" s="13">
        <v>20</v>
      </c>
      <c r="U63" s="21">
        <v>21</v>
      </c>
      <c r="V63" s="13">
        <v>22</v>
      </c>
      <c r="W63" s="21">
        <v>23</v>
      </c>
      <c r="X63" s="13">
        <v>24</v>
      </c>
      <c r="Y63" s="21">
        <v>25</v>
      </c>
      <c r="Z63" s="13">
        <v>26</v>
      </c>
      <c r="AA63" s="21">
        <v>27</v>
      </c>
      <c r="AB63" s="13">
        <v>28</v>
      </c>
      <c r="AC63" s="21">
        <v>29</v>
      </c>
      <c r="AD63" s="13">
        <v>30</v>
      </c>
    </row>
    <row r="64" spans="1:41" s="15" customFormat="1" ht="25.5">
      <c r="A64" s="33" t="s">
        <v>155</v>
      </c>
      <c r="B64" s="33" t="s">
        <v>252</v>
      </c>
      <c r="C64" s="33" t="s">
        <v>253</v>
      </c>
      <c r="D64" s="33" t="s">
        <v>254</v>
      </c>
      <c r="E64" s="17" t="s">
        <v>154</v>
      </c>
      <c r="F64" s="17" t="s">
        <v>154</v>
      </c>
      <c r="G64" s="17" t="s">
        <v>154</v>
      </c>
      <c r="H64" s="33" t="s">
        <v>255</v>
      </c>
      <c r="I64" s="17" t="s">
        <v>154</v>
      </c>
      <c r="J64" s="17" t="s">
        <v>154</v>
      </c>
      <c r="K64" s="17" t="s">
        <v>154</v>
      </c>
      <c r="L64" s="17" t="s">
        <v>154</v>
      </c>
      <c r="M64" s="17" t="s">
        <v>154</v>
      </c>
      <c r="N64" s="33" t="s">
        <v>255</v>
      </c>
      <c r="O64" s="17" t="s">
        <v>154</v>
      </c>
      <c r="P64" s="17" t="s">
        <v>154</v>
      </c>
      <c r="Q64" s="17" t="s">
        <v>154</v>
      </c>
      <c r="R64" s="17" t="s">
        <v>154</v>
      </c>
      <c r="S64" s="17" t="s">
        <v>154</v>
      </c>
      <c r="T64" s="17" t="s">
        <v>154</v>
      </c>
      <c r="U64" s="17" t="s">
        <v>154</v>
      </c>
      <c r="V64" s="17" t="s">
        <v>154</v>
      </c>
      <c r="W64" s="17" t="s">
        <v>154</v>
      </c>
      <c r="X64" s="17" t="s">
        <v>154</v>
      </c>
      <c r="Y64" s="17" t="s">
        <v>154</v>
      </c>
      <c r="Z64" s="33" t="s">
        <v>255</v>
      </c>
      <c r="AA64" s="17" t="s">
        <v>154</v>
      </c>
      <c r="AB64" s="17" t="s">
        <v>154</v>
      </c>
      <c r="AC64" s="17" t="s">
        <v>154</v>
      </c>
      <c r="AD64" s="17" t="s">
        <v>154</v>
      </c>
    </row>
    <row r="65" spans="1:12" s="15" customFormat="1" ht="12.75">
      <c r="A65" s="20"/>
    </row>
    <row r="66" spans="1:12" s="15" customFormat="1" ht="12.75">
      <c r="A66" s="144" t="s">
        <v>203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</row>
  </sheetData>
  <mergeCells count="37">
    <mergeCell ref="A66:L66"/>
    <mergeCell ref="I61:N61"/>
    <mergeCell ref="O61:U61"/>
    <mergeCell ref="V61:Y61"/>
    <mergeCell ref="Z61:AB61"/>
    <mergeCell ref="AC61:AD61"/>
    <mergeCell ref="E61:H61"/>
    <mergeCell ref="A61:A62"/>
    <mergeCell ref="B61:B62"/>
    <mergeCell ref="C61:C62"/>
    <mergeCell ref="D61:D62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</mergeCells>
  <pageMargins left="0.7" right="0.7" top="0.75" bottom="0.75" header="0.3" footer="0.3"/>
  <pageSetup paperSize="9" scale="34" orientation="landscape" r:id="rId1"/>
  <rowBreaks count="1" manualBreakCount="1">
    <brk id="35" max="16383" man="1"/>
  </rowBreaks>
  <ignoredErrors>
    <ignoredError sqref="A15 A24 A33 A43:A44" numberStoredAsText="1"/>
    <ignoredError sqref="A17: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'1 Общ. инфор.'!Область_печати</vt:lpstr>
      <vt:lpstr>'2 Показат. кач. передача'!Область_печати</vt:lpstr>
      <vt:lpstr>'3 Показатели кач. тех. прис.'!Область_печати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2017-04-02T11:19:44Z</dcterms:modified>
</cp:coreProperties>
</file>