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6" activeTab="3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инфор.'!$A$1:$N$34</definedName>
    <definedName name="_xlnm.Print_Area" localSheetId="1">'2 Показат. кач. передача'!$A$1:$T$49</definedName>
    <definedName name="_xlnm.Print_Area" localSheetId="2">'3 Показатели кач. тех. прис.'!$A$1:$T$56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D25" i="1"/>
  <c r="D24" i="1"/>
  <c r="D23" i="1"/>
  <c r="D18" i="1"/>
  <c r="D17" i="1"/>
  <c r="D12" i="1"/>
  <c r="D11" i="1"/>
  <c r="C18" i="1"/>
  <c r="C17" i="1"/>
  <c r="C12" i="1"/>
  <c r="C11" i="1"/>
  <c r="D24" i="4" l="1"/>
  <c r="D8" i="4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T41" i="3"/>
  <c r="S41" i="3"/>
  <c r="R41" i="3"/>
  <c r="Q41" i="3"/>
  <c r="P41" i="3"/>
  <c r="O41" i="3"/>
  <c r="M41" i="3"/>
  <c r="L41" i="3"/>
  <c r="K41" i="3"/>
  <c r="J41" i="3"/>
  <c r="I41" i="3"/>
  <c r="H41" i="3"/>
  <c r="G41" i="3"/>
  <c r="E41" i="3"/>
  <c r="T40" i="3"/>
  <c r="S40" i="3"/>
  <c r="R40" i="3"/>
  <c r="Q40" i="3"/>
  <c r="P40" i="3"/>
  <c r="O40" i="3"/>
  <c r="M40" i="3"/>
  <c r="L40" i="3"/>
  <c r="K40" i="3"/>
  <c r="J40" i="3"/>
  <c r="I40" i="3"/>
  <c r="H40" i="3"/>
  <c r="G40" i="3"/>
  <c r="E40" i="3"/>
  <c r="T39" i="3"/>
  <c r="S39" i="3"/>
  <c r="R39" i="3"/>
  <c r="Q39" i="3"/>
  <c r="P39" i="3"/>
  <c r="O39" i="3"/>
  <c r="M39" i="3"/>
  <c r="L39" i="3"/>
  <c r="K39" i="3"/>
  <c r="J39" i="3"/>
  <c r="I39" i="3"/>
  <c r="H39" i="3"/>
  <c r="G39" i="3"/>
  <c r="E39" i="3"/>
  <c r="T38" i="3"/>
  <c r="S38" i="3"/>
  <c r="R38" i="3"/>
  <c r="Q38" i="3"/>
  <c r="P38" i="3"/>
  <c r="O38" i="3"/>
  <c r="M38" i="3"/>
  <c r="L38" i="3"/>
  <c r="K38" i="3"/>
  <c r="J38" i="3"/>
  <c r="I38" i="3"/>
  <c r="H38" i="3"/>
  <c r="G38" i="3"/>
  <c r="E38" i="3"/>
  <c r="T37" i="3"/>
  <c r="S37" i="3"/>
  <c r="R37" i="3"/>
  <c r="Q37" i="3"/>
  <c r="P37" i="3"/>
  <c r="O37" i="3"/>
  <c r="M37" i="3"/>
  <c r="L37" i="3"/>
  <c r="K37" i="3"/>
  <c r="J37" i="3"/>
  <c r="I37" i="3"/>
  <c r="H37" i="3"/>
  <c r="G37" i="3"/>
  <c r="E37" i="3"/>
  <c r="T36" i="3"/>
  <c r="S36" i="3"/>
  <c r="R36" i="3"/>
  <c r="Q36" i="3"/>
  <c r="P36" i="3"/>
  <c r="O36" i="3"/>
  <c r="M36" i="3"/>
  <c r="L36" i="3"/>
  <c r="K36" i="3"/>
  <c r="J36" i="3"/>
  <c r="I36" i="3"/>
  <c r="H36" i="3"/>
  <c r="G36" i="3"/>
  <c r="E36" i="3"/>
  <c r="T35" i="3"/>
  <c r="S35" i="3"/>
  <c r="R35" i="3"/>
  <c r="Q35" i="3"/>
  <c r="P35" i="3"/>
  <c r="O35" i="3"/>
  <c r="M35" i="3"/>
  <c r="L35" i="3"/>
  <c r="K35" i="3"/>
  <c r="J35" i="3"/>
  <c r="I35" i="3"/>
  <c r="H35" i="3"/>
  <c r="G35" i="3"/>
  <c r="E35" i="3"/>
  <c r="T34" i="3"/>
  <c r="S34" i="3"/>
  <c r="R34" i="3"/>
  <c r="Q34" i="3"/>
  <c r="P34" i="3"/>
  <c r="O34" i="3"/>
  <c r="M34" i="3"/>
  <c r="L34" i="3"/>
  <c r="K34" i="3"/>
  <c r="J34" i="3"/>
  <c r="I34" i="3"/>
  <c r="H34" i="3"/>
  <c r="G34" i="3"/>
  <c r="E34" i="3"/>
  <c r="R26" i="3" l="1"/>
  <c r="H26" i="3"/>
  <c r="E26" i="3"/>
  <c r="H22" i="3"/>
  <c r="E22" i="3"/>
  <c r="H21" i="3"/>
  <c r="E21" i="3"/>
  <c r="H20" i="3"/>
  <c r="E20" i="3"/>
  <c r="R16" i="3"/>
  <c r="H16" i="3"/>
  <c r="E16" i="3"/>
  <c r="H15" i="3"/>
  <c r="E15" i="3"/>
  <c r="S41" i="1" l="1"/>
  <c r="R41" i="1"/>
  <c r="Q41" i="1"/>
  <c r="P41" i="1"/>
  <c r="O41" i="1"/>
  <c r="L41" i="1"/>
  <c r="K41" i="1"/>
  <c r="H41" i="1"/>
  <c r="G41" i="1"/>
  <c r="D41" i="1"/>
  <c r="C41" i="1"/>
  <c r="N40" i="1"/>
  <c r="N41" i="1" s="1"/>
  <c r="M40" i="1"/>
  <c r="M41" i="1" s="1"/>
  <c r="J40" i="1"/>
  <c r="J41" i="1" s="1"/>
  <c r="I40" i="1"/>
  <c r="I41" i="1" s="1"/>
  <c r="E40" i="1"/>
  <c r="E41" i="1" s="1"/>
  <c r="E19" i="1"/>
  <c r="E24" i="1" s="1"/>
  <c r="E13" i="1"/>
  <c r="E17" i="1" s="1"/>
  <c r="F40" i="1"/>
  <c r="F41" i="1" s="1"/>
  <c r="E7" i="1"/>
  <c r="E12" i="1" s="1"/>
  <c r="E23" i="1" l="1"/>
  <c r="E18" i="1"/>
  <c r="E11" i="1"/>
  <c r="R23" i="3"/>
  <c r="R24" i="3"/>
  <c r="R25" i="3"/>
</calcChain>
</file>

<file path=xl/sharedStrings.xml><?xml version="1.0" encoding="utf-8"?>
<sst xmlns="http://schemas.openxmlformats.org/spreadsheetml/2006/main" count="500" uniqueCount="266">
  <si>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</si>
  <si>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</si>
  <si>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</si>
  <si>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</si>
  <si>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</si>
  <si>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</si>
  <si>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</si>
  <si>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</si>
  <si>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</si>
  <si>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</si>
  <si>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</si>
  <si>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</si>
  <si>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</si>
  <si>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</si>
  <si>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</si>
  <si>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</si>
  <si>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</si>
  <si>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</si>
  <si>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</si>
  <si>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</si>
  <si>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</si>
  <si>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</si>
  <si>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</si>
  <si>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</si>
  <si>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</si>
  <si>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</si>
  <si>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</si>
  <si>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</si>
  <si>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</si>
  <si>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</si>
  <si>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</si>
  <si>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</si>
  <si>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</si>
  <si>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</si>
  <si>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</si>
  <si>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</si>
  <si>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</si>
  <si>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</si>
  <si>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</si>
  <si>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</si>
  <si>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</si>
  <si>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</si>
  <si>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</si>
  <si>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</si>
  <si>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</si>
  <si>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</si>
  <si>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</si>
  <si>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</si>
  <si>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</si>
  <si>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</si>
  <si>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</si>
  <si>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</si>
  <si>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</si>
  <si>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</si>
  <si>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</si>
  <si>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</si>
  <si>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</si>
  <si>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</si>
  <si>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</si>
  <si>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</si>
  <si>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</si>
  <si>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</si>
  <si>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</si>
  <si>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</si>
  <si>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</si>
  <si>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</si>
  <si>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</si>
  <si>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</si>
  <si>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</si>
  <si>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</si>
  <si>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</si>
  <si>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</si>
  <si>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</si>
  <si>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</si>
  <si>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</si>
  <si>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</si>
  <si>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</si>
  <si>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</si>
  <si>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</si>
  <si>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</si>
  <si>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</si>
  <si>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</si>
  <si>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</si>
  <si>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</si>
  <si>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</si>
  <si>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</si>
  <si>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</si>
  <si>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</si>
  <si>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</si>
  <si>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</si>
  <si>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</si>
  <si>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</si>
  <si>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</si>
  <si>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</si>
  <si>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</si>
  <si>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</si>
  <si>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</si>
  <si>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</si>
  <si>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</si>
  <si>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</si>
  <si>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</si>
  <si>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</si>
  <si>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</si>
  <si>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</si>
  <si>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</si>
  <si>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</si>
  <si>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</si>
  <si>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</si>
  <si>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</si>
  <si>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</si>
  <si>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</si>
  <si>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</si>
  <si>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</si>
  <si>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</si>
  <si>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</si>
  <si>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</si>
  <si>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</si>
  <si>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</si>
  <si>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</si>
  <si>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</si>
  <si>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</si>
  <si>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</si>
  <si>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</si>
  <si>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</si>
  <si>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</si>
  <si>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</si>
  <si>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</si>
  <si>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</si>
  <si>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</si>
  <si>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</si>
  <si>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</si>
  <si>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</si>
  <si>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</si>
  <si>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</si>
  <si>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</si>
  <si>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</si>
  <si>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</si>
  <si>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</si>
  <si>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</si>
  <si>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</si>
  <si>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</si>
  <si>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</si>
  <si>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</si>
  <si>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</si>
  <si>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</si>
  <si>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</si>
  <si>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</si>
  <si>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</si>
  <si>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</si>
  <si>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</si>
  <si>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</si>
  <si>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</si>
  <si>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</si>
  <si>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</si>
  <si>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</si>
  <si>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</si>
  <si>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</si>
  <si>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</si>
  <si>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</si>
  <si>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</si>
  <si>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</si>
  <si>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</si>
  <si>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</si>
  <si>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</si>
  <si>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</si>
  <si>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</si>
  <si>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</si>
  <si>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</si>
  <si>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</si>
  <si>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</si>
  <si>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</si>
  <si>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</si>
  <si>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</si>
  <si>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</si>
  <si>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</si>
  <si>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</si>
  <si>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</si>
  <si>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</si>
  <si>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</si>
  <si>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</si>
  <si>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</si>
  <si>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</si>
  <si>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</si>
  <si>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</si>
  <si>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</si>
  <si>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</si>
  <si>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</si>
  <si>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</si>
  <si>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</si>
  <si>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</si>
  <si>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</si>
  <si>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</si>
  <si>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</si>
  <si>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</si>
  <si>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</si>
  <si>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</si>
  <si>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</si>
  <si>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</si>
  <si>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</si>
  <si>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</si>
  <si>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</si>
  <si>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</si>
  <si>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</si>
  <si>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</si>
  <si>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</si>
  <si>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</si>
  <si>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</si>
  <si>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</si>
  <si>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</si>
  <si>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</si>
  <si>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</si>
  <si>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</si>
  <si>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</si>
  <si>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</si>
  <si>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</si>
  <si>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</si>
  <si>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</si>
  <si>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</si>
  <si>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</si>
  <si>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</si>
  <si>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</si>
  <si>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</si>
  <si>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</si>
  <si>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</si>
  <si>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</si>
  <si>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</si>
  <si>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</si>
  <si>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</si>
  <si>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</si>
  <si>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</si>
  <si>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</si>
  <si>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</si>
  <si>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</si>
  <si>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</si>
  <si>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</si>
  <si>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</si>
  <si>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</si>
  <si>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ТП/РП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</si>
  <si>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</si>
  <si>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</si>
  <si>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</si>
  <si>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</si>
  <si>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</si>
  <si>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</si>
  <si>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</si>
  <si>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ООО "Гранат"</t>
  </si>
  <si>
    <t xml:space="preserve"> +</t>
  </si>
  <si>
    <t>0,745</t>
  </si>
  <si>
    <t>3,86</t>
  </si>
  <si>
    <t>63%</t>
  </si>
  <si>
    <t>2017 год (факт)</t>
  </si>
  <si>
    <t>Население и прирав.</t>
  </si>
  <si>
    <t>ИПУ в чжд</t>
  </si>
  <si>
    <t>1,19 % рост относительно факта 2016 года</t>
  </si>
  <si>
    <t>2. Информация о качестве услуг по передаче электрической энергии по сетям сетевой организации ООО "Гранат"</t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</si>
  <si>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№615/82 от 26.12.2017г. Расчет окончательной стоимости определяется по формулам, указанным в Приложении №4 настоящего приказа</t>
  </si>
  <si>
    <t>Способ расчета</t>
  </si>
  <si>
    <t>По стандартизированной тарифной ставке</t>
  </si>
  <si>
    <t>По ставке за единицу мощности</t>
  </si>
  <si>
    <t>Обращения потребителей:</t>
  </si>
  <si>
    <t>Жалобы:</t>
  </si>
  <si>
    <t>фиксируется</t>
  </si>
  <si>
    <t>2017</t>
  </si>
  <si>
    <t>не фиксируется</t>
  </si>
  <si>
    <t xml:space="preserve">  -</t>
  </si>
  <si>
    <t>0 % рост относительно факта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</si>
</sst>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4" xfId="0" applyNumberFormat="1" applyFont="1" applyFill="1" applyBorder="1"/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" name="Picture 8">
          <a:extLst>
            <a:ext uri="{FF2B5EF4-FFF2-40B4-BE49-F238E27FC236}">
              <a16:creationId xmlns:a16="http://schemas.microsoft.com/office/drawing/2014/main" xmlns="" id="{109060C3-3616-49F2-8FF8-A9606381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430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xmlns="" id="{EBBBBB41-F918-4C73-A1FF-A46B5B3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8384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xmlns="" id="{E6E5173C-835C-407F-80FA-129E2089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58152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xmlns="" id="{B4FDF90A-628E-4C6E-8883-CA7A0DB9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33412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14" name="Picture 12">
          <a:extLst>
            <a:ext uri="{FF2B5EF4-FFF2-40B4-BE49-F238E27FC236}">
              <a16:creationId xmlns:a16="http://schemas.microsoft.com/office/drawing/2014/main" xmlns="" id="{AE248C5B-C56D-4BDE-8B17-003E93B6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429875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15" name="Picture 11">
          <a:extLst>
            <a:ext uri="{FF2B5EF4-FFF2-40B4-BE49-F238E27FC236}">
              <a16:creationId xmlns:a16="http://schemas.microsoft.com/office/drawing/2014/main" xmlns="" id="{87A6C7C2-C60A-4D36-9656-651F7D2D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04584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16" name="Picture 10">
          <a:extLst>
            <a:ext uri="{FF2B5EF4-FFF2-40B4-BE49-F238E27FC236}">
              <a16:creationId xmlns:a16="http://schemas.microsoft.com/office/drawing/2014/main" xmlns="" id="{E87EBF0E-D62F-4C30-A75A-15F74BDF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054417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17" name="Picture 9">
          <a:extLst>
            <a:ext uri="{FF2B5EF4-FFF2-40B4-BE49-F238E27FC236}">
              <a16:creationId xmlns:a16="http://schemas.microsoft.com/office/drawing/2014/main" xmlns="" id="{EFFE2B61-7211-432E-A359-1C1C758D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0572750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zoomScale="85" zoomScaleSheetLayoutView="85" workbookViewId="0">
      <selection activeCell="F12" sqref="F12"/>
    </sheetView>
  </sheetViews>
  <sheetFormatPr defaultRowHeight="15" x14ac:dyDescent="0.25"/>
  <cols>
    <col min="1" max="1" width="19" style="47" customWidth="1"/>
    <col min="2" max="2" width="15.42578125" style="47" customWidth="1"/>
    <col min="3" max="3" width="12.140625" style="47" customWidth="1"/>
    <col min="4" max="4" width="13.85546875" style="47" customWidth="1"/>
    <col min="5" max="5" width="13.28515625" style="27" customWidth="1"/>
    <col min="6" max="6" width="13.85546875" style="27" customWidth="1"/>
    <col min="7" max="7" width="13.140625" style="27" customWidth="1"/>
    <col min="8" max="8" width="11.7109375" style="27" customWidth="1"/>
    <col min="9" max="9" width="12.5703125" style="27" customWidth="1"/>
    <col min="10" max="10" width="12.85546875" style="27" customWidth="1"/>
    <col min="11" max="11" width="11.5703125" style="27" customWidth="1"/>
    <col min="12" max="12" width="12.5703125" style="27" customWidth="1"/>
    <col min="13" max="13" width="14.42578125" style="27" customWidth="1"/>
    <col min="14" max="14" width="11.5703125" style="27" customWidth="1"/>
    <col min="15" max="15" width="12.5703125" style="27" customWidth="1"/>
    <col min="16" max="16384" width="9.140625" style="27"/>
  </cols>
  <sheetData>
    <row r="1" spans="1:24" ht="15.75" x14ac:dyDescent="0.25">
      <c r="A1" s="98" t="s">
        <v>229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3" spans="1:24" s="29" customFormat="1" ht="45.75" customHeight="1" thickBot="1" x14ac:dyDescent="0.3">
      <c r="A3" s="97" t="s">
        <v>205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25">
      <c r="A4" s="102" t="s">
        <v>207</v>
      </c>
      <c r="B4" s="103" t="s">
        <v>50</v>
      </c>
      <c r="C4" s="99" t="s">
        <v>250</v>
      </c>
      <c r="D4" s="100"/>
      <c r="E4" s="100"/>
      <c r="F4" s="101"/>
    </row>
    <row r="5" spans="1:24" s="34" customFormat="1" x14ac:dyDescent="0.25">
      <c r="A5" s="102"/>
      <c r="B5" s="103"/>
      <c r="C5" s="30" t="s">
        <v>19</v>
      </c>
      <c r="D5" s="31" t="s">
        <v>20</v>
      </c>
      <c r="E5" s="32" t="s">
        <v>21</v>
      </c>
      <c r="F5" s="33" t="s">
        <v>22</v>
      </c>
    </row>
    <row r="6" spans="1:24" s="34" customFormat="1" x14ac:dyDescent="0.25">
      <c r="A6" s="35" t="s">
        <v>153</v>
      </c>
      <c r="B6" s="36" t="s">
        <v>137</v>
      </c>
      <c r="C6" s="37" t="s">
        <v>147</v>
      </c>
      <c r="D6" s="35" t="s">
        <v>154</v>
      </c>
      <c r="E6" s="35" t="s">
        <v>208</v>
      </c>
      <c r="F6" s="38" t="s">
        <v>209</v>
      </c>
    </row>
    <row r="7" spans="1:24" x14ac:dyDescent="0.25">
      <c r="A7" s="39" t="s">
        <v>206</v>
      </c>
      <c r="B7" s="40" t="s">
        <v>52</v>
      </c>
      <c r="C7" s="41" t="s">
        <v>152</v>
      </c>
      <c r="D7" s="42" t="s">
        <v>152</v>
      </c>
      <c r="E7" s="32">
        <v>39</v>
      </c>
      <c r="F7" s="33">
        <v>4</v>
      </c>
    </row>
    <row r="8" spans="1:24" ht="15.75" thickBot="1" x14ac:dyDescent="0.3">
      <c r="A8" s="39" t="s">
        <v>251</v>
      </c>
      <c r="B8" s="40" t="s">
        <v>52</v>
      </c>
      <c r="C8" s="43" t="s">
        <v>152</v>
      </c>
      <c r="D8" s="44" t="s">
        <v>152</v>
      </c>
      <c r="E8" s="44" t="s">
        <v>153</v>
      </c>
      <c r="F8" s="45">
        <v>42</v>
      </c>
    </row>
    <row r="9" spans="1:24" x14ac:dyDescent="0.25">
      <c r="A9" s="46" t="s">
        <v>253</v>
      </c>
    </row>
    <row r="11" spans="1:24" s="48" customFormat="1" ht="60" customHeight="1" thickBot="1" x14ac:dyDescent="0.3">
      <c r="A11" s="97" t="s">
        <v>210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24" s="52" customFormat="1" ht="60" x14ac:dyDescent="0.25">
      <c r="A12" s="104" t="s">
        <v>207</v>
      </c>
      <c r="B12" s="49" t="s">
        <v>211</v>
      </c>
      <c r="C12" s="50" t="s">
        <v>212</v>
      </c>
      <c r="D12" s="51"/>
      <c r="E12" s="51"/>
      <c r="F12" s="51"/>
      <c r="G12" s="51"/>
      <c r="H12" s="51"/>
      <c r="I12" s="51"/>
      <c r="J12" s="51"/>
    </row>
    <row r="13" spans="1:24" s="52" customFormat="1" ht="15" customHeight="1" x14ac:dyDescent="0.25">
      <c r="A13" s="105"/>
      <c r="B13" s="106" t="s">
        <v>250</v>
      </c>
      <c r="C13" s="107"/>
      <c r="D13" s="51"/>
      <c r="E13" s="51"/>
      <c r="F13" s="51"/>
      <c r="G13" s="51"/>
      <c r="H13" s="51"/>
      <c r="I13" s="51"/>
      <c r="J13" s="51"/>
    </row>
    <row r="14" spans="1:24" s="52" customFormat="1" x14ac:dyDescent="0.25">
      <c r="A14" s="36" t="s">
        <v>153</v>
      </c>
      <c r="B14" s="37" t="s">
        <v>137</v>
      </c>
      <c r="C14" s="38" t="s">
        <v>147</v>
      </c>
      <c r="D14" s="51"/>
      <c r="E14" s="51"/>
      <c r="F14" s="51"/>
      <c r="G14" s="51"/>
      <c r="H14" s="51"/>
      <c r="I14" s="51"/>
      <c r="J14" s="51"/>
    </row>
    <row r="15" spans="1:24" x14ac:dyDescent="0.25">
      <c r="A15" s="53" t="s">
        <v>206</v>
      </c>
      <c r="B15" s="54">
        <v>77</v>
      </c>
      <c r="C15" s="55">
        <v>77</v>
      </c>
      <c r="D15" s="27"/>
    </row>
    <row r="16" spans="1:24" x14ac:dyDescent="0.25">
      <c r="A16" s="53" t="s">
        <v>252</v>
      </c>
      <c r="B16" s="54">
        <v>41</v>
      </c>
      <c r="C16" s="55">
        <v>41</v>
      </c>
      <c r="D16" s="27"/>
    </row>
    <row r="17" spans="1:14" x14ac:dyDescent="0.25">
      <c r="A17" s="53" t="s">
        <v>213</v>
      </c>
      <c r="B17" s="54">
        <v>6</v>
      </c>
      <c r="C17" s="55">
        <v>6</v>
      </c>
      <c r="D17" s="27"/>
    </row>
    <row r="18" spans="1:14" x14ac:dyDescent="0.25">
      <c r="A18" s="53" t="s">
        <v>214</v>
      </c>
      <c r="B18" s="41" t="s">
        <v>152</v>
      </c>
      <c r="C18" s="56" t="s">
        <v>152</v>
      </c>
      <c r="D18" s="27"/>
    </row>
    <row r="19" spans="1:14" ht="15.75" thickBot="1" x14ac:dyDescent="0.3">
      <c r="A19" s="53" t="s">
        <v>215</v>
      </c>
      <c r="B19" s="43" t="s">
        <v>152</v>
      </c>
      <c r="C19" s="57" t="s">
        <v>152</v>
      </c>
      <c r="D19" s="27"/>
    </row>
    <row r="20" spans="1:14" x14ac:dyDescent="0.25">
      <c r="A20" s="46" t="s">
        <v>253</v>
      </c>
      <c r="B20" s="58"/>
      <c r="C20" s="58"/>
      <c r="D20" s="27"/>
    </row>
    <row r="22" spans="1:14" ht="39.75" customHeight="1" thickBot="1" x14ac:dyDescent="0.3">
      <c r="A22" s="97" t="s">
        <v>216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s="51" customFormat="1" ht="15" customHeight="1" x14ac:dyDescent="0.25">
      <c r="A23" s="160" t="s">
        <v>217</v>
      </c>
      <c r="B23" s="161" t="s">
        <v>218</v>
      </c>
      <c r="C23" s="161"/>
      <c r="D23" s="161" t="s">
        <v>219</v>
      </c>
      <c r="E23" s="162"/>
    </row>
    <row r="24" spans="1:14" x14ac:dyDescent="0.25">
      <c r="A24" s="163"/>
      <c r="B24" s="42" t="s">
        <v>221</v>
      </c>
      <c r="C24" s="42" t="s">
        <v>220</v>
      </c>
      <c r="D24" s="42" t="s">
        <v>221</v>
      </c>
      <c r="E24" s="56" t="s">
        <v>220</v>
      </c>
    </row>
    <row r="25" spans="1:14" x14ac:dyDescent="0.25">
      <c r="A25" s="164" t="s">
        <v>250</v>
      </c>
      <c r="B25" s="165"/>
      <c r="C25" s="165"/>
      <c r="D25" s="165"/>
      <c r="E25" s="166"/>
    </row>
    <row r="26" spans="1:14" s="34" customFormat="1" ht="15.75" thickBot="1" x14ac:dyDescent="0.3">
      <c r="A26" s="167">
        <v>14</v>
      </c>
      <c r="B26" s="44" t="s">
        <v>247</v>
      </c>
      <c r="C26" s="44" t="s">
        <v>248</v>
      </c>
      <c r="D26" s="168">
        <v>16.968</v>
      </c>
      <c r="E26" s="169">
        <v>5.1999999999999998E-2</v>
      </c>
    </row>
    <row r="27" spans="1:14" s="34" customFormat="1" x14ac:dyDescent="0.25">
      <c r="A27" s="46" t="s">
        <v>265</v>
      </c>
      <c r="B27" s="58"/>
      <c r="C27" s="58"/>
      <c r="D27" s="68"/>
      <c r="E27" s="67"/>
    </row>
    <row r="29" spans="1:14" ht="35.25" customHeight="1" thickBot="1" x14ac:dyDescent="0.3">
      <c r="A29" s="97" t="s">
        <v>222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s="52" customFormat="1" ht="15" customHeight="1" x14ac:dyDescent="0.25">
      <c r="A30" s="103" t="s">
        <v>224</v>
      </c>
      <c r="B30" s="170" t="s">
        <v>223</v>
      </c>
      <c r="C30" s="161"/>
      <c r="D30" s="161"/>
      <c r="E30" s="162"/>
    </row>
    <row r="31" spans="1:14" s="34" customFormat="1" x14ac:dyDescent="0.25">
      <c r="A31" s="103"/>
      <c r="B31" s="41" t="s">
        <v>19</v>
      </c>
      <c r="C31" s="42" t="s">
        <v>20</v>
      </c>
      <c r="D31" s="42" t="s">
        <v>21</v>
      </c>
      <c r="E31" s="171" t="s">
        <v>22</v>
      </c>
    </row>
    <row r="32" spans="1:14" x14ac:dyDescent="0.25">
      <c r="A32" s="103"/>
      <c r="B32" s="164" t="s">
        <v>250</v>
      </c>
      <c r="C32" s="165"/>
      <c r="D32" s="165"/>
      <c r="E32" s="166"/>
    </row>
    <row r="33" spans="1:5" x14ac:dyDescent="0.25">
      <c r="A33" s="69" t="s">
        <v>237</v>
      </c>
      <c r="B33" s="41"/>
      <c r="C33" s="42"/>
      <c r="D33" s="42" t="s">
        <v>238</v>
      </c>
      <c r="E33" s="56"/>
    </row>
    <row r="34" spans="1:5" ht="15.75" thickBot="1" x14ac:dyDescent="0.3">
      <c r="A34" s="40" t="s">
        <v>239</v>
      </c>
      <c r="B34" s="172"/>
      <c r="C34" s="173"/>
      <c r="D34" s="44" t="s">
        <v>249</v>
      </c>
      <c r="E34" s="174">
        <v>0.37</v>
      </c>
    </row>
  </sheetData>
  <mergeCells count="17">
    <mergeCell ref="A29:N29"/>
    <mergeCell ref="B30:E30"/>
    <mergeCell ref="B32:E32"/>
    <mergeCell ref="A30:A32"/>
    <mergeCell ref="A23:A24"/>
    <mergeCell ref="A25:E25"/>
    <mergeCell ref="B23:C23"/>
    <mergeCell ref="D23:E23"/>
    <mergeCell ref="A22:N22"/>
    <mergeCell ref="A1:R1"/>
    <mergeCell ref="C4:F4"/>
    <mergeCell ref="A4:A5"/>
    <mergeCell ref="B4:B5"/>
    <mergeCell ref="A3:N3"/>
    <mergeCell ref="A11:N11"/>
    <mergeCell ref="A12:A13"/>
    <mergeCell ref="B13:C13"/>
  </mergeCells>
  <pageMargins left="0.7" right="0.7" top="0.75" bottom="0.75" header="0.3" footer="0.3"/>
  <pageSetup paperSize="9" scale="69" orientation="landscape" r:id="rId1"/>
  <colBreaks count="1" manualBreakCount="1">
    <brk id="14" max="1048575" man="1"/>
  </colBreaks>
  <ignoredErrors>
    <ignoredError sqref="A6:B6 A14 B33:D33 C6:F6 E8 B14:C14 C34 B26:E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SheetLayoutView="100" workbookViewId="0">
      <selection activeCell="K3" sqref="K3"/>
    </sheetView>
  </sheetViews>
  <sheetFormatPr defaultRowHeight="15" x14ac:dyDescent="0.25"/>
  <cols>
    <col min="1" max="1" width="6.7109375" style="27" customWidth="1"/>
    <col min="2" max="2" width="53.85546875" style="27" customWidth="1"/>
    <col min="3" max="3" width="12.28515625" style="27" customWidth="1"/>
    <col min="4" max="4" width="13.28515625" style="27" customWidth="1"/>
    <col min="5" max="5" width="14.140625" style="27" customWidth="1"/>
    <col min="6" max="18" width="9.140625" style="27"/>
    <col min="19" max="19" width="32.7109375" style="27" customWidth="1"/>
    <col min="20" max="20" width="34.42578125" style="27" customWidth="1"/>
    <col min="21" max="16384" width="9.140625" style="27"/>
  </cols>
  <sheetData>
    <row r="1" spans="1:13" ht="15.75" customHeight="1" x14ac:dyDescent="0.25">
      <c r="A1" s="98" t="s">
        <v>254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59" customFormat="1" ht="12.75" customHeight="1" x14ac:dyDescent="0.2">
      <c r="A2" s="112" t="s">
        <v>119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ht="15" customHeight="1" x14ac:dyDescent="0.25">
      <c r="A4" s="147" t="s">
        <v>2</v>
      </c>
      <c r="B4" s="147" t="s">
        <v>0</v>
      </c>
      <c r="C4" s="147" t="s">
        <v>1</v>
      </c>
      <c r="D4" s="147"/>
      <c r="E4" s="147"/>
    </row>
    <row r="5" spans="1:13" ht="38.25" x14ac:dyDescent="0.25">
      <c r="A5" s="147"/>
      <c r="B5" s="147"/>
      <c r="C5" s="148" t="s">
        <v>3</v>
      </c>
      <c r="D5" s="148" t="s">
        <v>4</v>
      </c>
      <c r="E5" s="148" t="s">
        <v>5</v>
      </c>
    </row>
    <row r="6" spans="1:13" x14ac:dyDescent="0.25">
      <c r="A6" s="148">
        <v>1</v>
      </c>
      <c r="B6" s="148">
        <v>2</v>
      </c>
      <c r="C6" s="149">
        <v>3</v>
      </c>
      <c r="D6" s="149">
        <v>4</v>
      </c>
      <c r="E6" s="149">
        <v>5</v>
      </c>
    </row>
    <row r="7" spans="1:13" ht="25.5" customHeight="1" x14ac:dyDescent="0.25">
      <c r="A7" s="147">
        <v>1</v>
      </c>
      <c r="B7" s="150" t="s">
        <v>226</v>
      </c>
      <c r="C7" s="151">
        <v>0.14149999999999999</v>
      </c>
      <c r="D7" s="151">
        <v>0.54100000000000004</v>
      </c>
      <c r="E7" s="152">
        <f>(C7-D7)*100/C7</f>
        <v>-282.3321554770319</v>
      </c>
    </row>
    <row r="8" spans="1:13" x14ac:dyDescent="0.25">
      <c r="A8" s="147"/>
      <c r="B8" s="150"/>
      <c r="C8" s="151"/>
      <c r="D8" s="151"/>
      <c r="E8" s="152"/>
    </row>
    <row r="9" spans="1:13" x14ac:dyDescent="0.25">
      <c r="A9" s="153" t="s">
        <v>97</v>
      </c>
      <c r="B9" s="154" t="s">
        <v>6</v>
      </c>
      <c r="C9" s="62" t="s">
        <v>116</v>
      </c>
      <c r="D9" s="62" t="s">
        <v>116</v>
      </c>
      <c r="E9" s="62" t="s">
        <v>116</v>
      </c>
    </row>
    <row r="10" spans="1:13" x14ac:dyDescent="0.25">
      <c r="A10" s="153" t="s">
        <v>98</v>
      </c>
      <c r="B10" s="154" t="s">
        <v>7</v>
      </c>
      <c r="C10" s="62" t="s">
        <v>116</v>
      </c>
      <c r="D10" s="62" t="s">
        <v>116</v>
      </c>
      <c r="E10" s="62" t="s">
        <v>116</v>
      </c>
    </row>
    <row r="11" spans="1:13" x14ac:dyDescent="0.25">
      <c r="A11" s="153" t="s">
        <v>99</v>
      </c>
      <c r="B11" s="154" t="s">
        <v>8</v>
      </c>
      <c r="C11" s="62">
        <f>C7</f>
        <v>0.14149999999999999</v>
      </c>
      <c r="D11" s="62">
        <f>D7</f>
        <v>0.54100000000000004</v>
      </c>
      <c r="E11" s="155">
        <f>E7</f>
        <v>-282.3321554770319</v>
      </c>
    </row>
    <row r="12" spans="1:13" x14ac:dyDescent="0.25">
      <c r="A12" s="153" t="s">
        <v>100</v>
      </c>
      <c r="B12" s="154" t="s">
        <v>9</v>
      </c>
      <c r="C12" s="62">
        <f>C7</f>
        <v>0.14149999999999999</v>
      </c>
      <c r="D12" s="62">
        <f>D7</f>
        <v>0.54100000000000004</v>
      </c>
      <c r="E12" s="155">
        <f>E7</f>
        <v>-282.3321554770319</v>
      </c>
    </row>
    <row r="13" spans="1:13" ht="25.5" customHeight="1" x14ac:dyDescent="0.25">
      <c r="A13" s="147">
        <v>2</v>
      </c>
      <c r="B13" s="150" t="s">
        <v>225</v>
      </c>
      <c r="C13" s="151">
        <v>1.6353</v>
      </c>
      <c r="D13" s="151">
        <v>1.6163000000000001</v>
      </c>
      <c r="E13" s="152">
        <f>(C13-D13)*100/C13</f>
        <v>1.1618663242218497</v>
      </c>
    </row>
    <row r="14" spans="1:13" x14ac:dyDescent="0.25">
      <c r="A14" s="147"/>
      <c r="B14" s="150"/>
      <c r="C14" s="151"/>
      <c r="D14" s="151"/>
      <c r="E14" s="152"/>
    </row>
    <row r="15" spans="1:13" x14ac:dyDescent="0.25">
      <c r="A15" s="153" t="s">
        <v>101</v>
      </c>
      <c r="B15" s="154" t="s">
        <v>6</v>
      </c>
      <c r="C15" s="62" t="s">
        <v>116</v>
      </c>
      <c r="D15" s="62" t="s">
        <v>116</v>
      </c>
      <c r="E15" s="62" t="s">
        <v>116</v>
      </c>
    </row>
    <row r="16" spans="1:13" x14ac:dyDescent="0.25">
      <c r="A16" s="153" t="s">
        <v>102</v>
      </c>
      <c r="B16" s="154" t="s">
        <v>7</v>
      </c>
      <c r="C16" s="62" t="s">
        <v>116</v>
      </c>
      <c r="D16" s="62" t="s">
        <v>116</v>
      </c>
      <c r="E16" s="62" t="s">
        <v>116</v>
      </c>
    </row>
    <row r="17" spans="1:5" x14ac:dyDescent="0.25">
      <c r="A17" s="153" t="s">
        <v>103</v>
      </c>
      <c r="B17" s="154" t="s">
        <v>8</v>
      </c>
      <c r="C17" s="62">
        <f>C13</f>
        <v>1.6353</v>
      </c>
      <c r="D17" s="62">
        <f>D13</f>
        <v>1.6163000000000001</v>
      </c>
      <c r="E17" s="155">
        <f>E13</f>
        <v>1.1618663242218497</v>
      </c>
    </row>
    <row r="18" spans="1:5" x14ac:dyDescent="0.25">
      <c r="A18" s="153" t="s">
        <v>104</v>
      </c>
      <c r="B18" s="154" t="s">
        <v>9</v>
      </c>
      <c r="C18" s="62">
        <f>C13</f>
        <v>1.6353</v>
      </c>
      <c r="D18" s="62">
        <f>D13</f>
        <v>1.6163000000000001</v>
      </c>
      <c r="E18" s="155">
        <f>E13</f>
        <v>1.1618663242218497</v>
      </c>
    </row>
    <row r="19" spans="1:5" ht="63.75" customHeight="1" x14ac:dyDescent="0.25">
      <c r="A19" s="147">
        <v>3</v>
      </c>
      <c r="B19" s="150" t="s">
        <v>227</v>
      </c>
      <c r="C19" s="151">
        <v>8.6400000000000005E-2</v>
      </c>
      <c r="D19" s="156">
        <v>6.3506999999999998</v>
      </c>
      <c r="E19" s="152">
        <f>(C19-D19)*100/C19</f>
        <v>-7250.3472222222208</v>
      </c>
    </row>
    <row r="20" spans="1:5" x14ac:dyDescent="0.25">
      <c r="A20" s="147"/>
      <c r="B20" s="150"/>
      <c r="C20" s="151"/>
      <c r="D20" s="157"/>
      <c r="E20" s="152"/>
    </row>
    <row r="21" spans="1:5" x14ac:dyDescent="0.25">
      <c r="A21" s="153" t="s">
        <v>105</v>
      </c>
      <c r="B21" s="154" t="s">
        <v>6</v>
      </c>
      <c r="C21" s="62" t="s">
        <v>116</v>
      </c>
      <c r="D21" s="62" t="s">
        <v>116</v>
      </c>
      <c r="E21" s="62" t="s">
        <v>116</v>
      </c>
    </row>
    <row r="22" spans="1:5" x14ac:dyDescent="0.25">
      <c r="A22" s="153" t="s">
        <v>106</v>
      </c>
      <c r="B22" s="154" t="s">
        <v>7</v>
      </c>
      <c r="C22" s="62" t="s">
        <v>116</v>
      </c>
      <c r="D22" s="62" t="s">
        <v>116</v>
      </c>
      <c r="E22" s="62" t="s">
        <v>116</v>
      </c>
    </row>
    <row r="23" spans="1:5" x14ac:dyDescent="0.25">
      <c r="A23" s="153" t="s">
        <v>107</v>
      </c>
      <c r="B23" s="154" t="s">
        <v>8</v>
      </c>
      <c r="C23" s="62">
        <v>8.6400000000000005E-2</v>
      </c>
      <c r="D23" s="62">
        <f>D19</f>
        <v>6.3506999999999998</v>
      </c>
      <c r="E23" s="155">
        <f>E19</f>
        <v>-7250.3472222222208</v>
      </c>
    </row>
    <row r="24" spans="1:5" x14ac:dyDescent="0.25">
      <c r="A24" s="153" t="s">
        <v>108</v>
      </c>
      <c r="B24" s="154" t="s">
        <v>9</v>
      </c>
      <c r="C24" s="62">
        <v>8.6400000000000005E-2</v>
      </c>
      <c r="D24" s="62">
        <f>D19</f>
        <v>6.3506999999999998</v>
      </c>
      <c r="E24" s="155">
        <f>E19</f>
        <v>-7250.3472222222208</v>
      </c>
    </row>
    <row r="25" spans="1:5" ht="63.75" customHeight="1" x14ac:dyDescent="0.25">
      <c r="A25" s="147">
        <v>4</v>
      </c>
      <c r="B25" s="150" t="s">
        <v>228</v>
      </c>
      <c r="C25" s="151">
        <v>0</v>
      </c>
      <c r="D25" s="151">
        <f>D13</f>
        <v>1.6163000000000001</v>
      </c>
      <c r="E25" s="151">
        <v>0</v>
      </c>
    </row>
    <row r="26" spans="1:5" x14ac:dyDescent="0.25">
      <c r="A26" s="147"/>
      <c r="B26" s="150"/>
      <c r="C26" s="151"/>
      <c r="D26" s="151"/>
      <c r="E26" s="151"/>
    </row>
    <row r="27" spans="1:5" x14ac:dyDescent="0.25">
      <c r="A27" s="153" t="s">
        <v>109</v>
      </c>
      <c r="B27" s="154" t="s">
        <v>6</v>
      </c>
      <c r="C27" s="62" t="s">
        <v>116</v>
      </c>
      <c r="D27" s="62" t="s">
        <v>116</v>
      </c>
      <c r="E27" s="62" t="s">
        <v>116</v>
      </c>
    </row>
    <row r="28" spans="1:5" x14ac:dyDescent="0.25">
      <c r="A28" s="153" t="s">
        <v>110</v>
      </c>
      <c r="B28" s="154" t="s">
        <v>7</v>
      </c>
      <c r="C28" s="62" t="s">
        <v>116</v>
      </c>
      <c r="D28" s="62" t="s">
        <v>116</v>
      </c>
      <c r="E28" s="62" t="s">
        <v>116</v>
      </c>
    </row>
    <row r="29" spans="1:5" x14ac:dyDescent="0.25">
      <c r="A29" s="153" t="s">
        <v>111</v>
      </c>
      <c r="B29" s="154" t="s">
        <v>8</v>
      </c>
      <c r="C29" s="62" t="s">
        <v>116</v>
      </c>
      <c r="D29" s="62">
        <f>D25</f>
        <v>1.6163000000000001</v>
      </c>
      <c r="E29" s="62" t="s">
        <v>116</v>
      </c>
    </row>
    <row r="30" spans="1:5" x14ac:dyDescent="0.25">
      <c r="A30" s="153" t="s">
        <v>112</v>
      </c>
      <c r="B30" s="154" t="s">
        <v>9</v>
      </c>
      <c r="C30" s="62" t="s">
        <v>116</v>
      </c>
      <c r="D30" s="62">
        <f>D25</f>
        <v>1.6163000000000001</v>
      </c>
      <c r="E30" s="62" t="s">
        <v>116</v>
      </c>
    </row>
    <row r="31" spans="1:5" ht="38.25" x14ac:dyDescent="0.25">
      <c r="A31" s="148">
        <v>5</v>
      </c>
      <c r="B31" s="158" t="s">
        <v>10</v>
      </c>
      <c r="C31" s="62">
        <v>0</v>
      </c>
      <c r="D31" s="62">
        <v>0</v>
      </c>
      <c r="E31" s="62">
        <v>0</v>
      </c>
    </row>
    <row r="32" spans="1:5" ht="51" x14ac:dyDescent="0.25">
      <c r="A32" s="153" t="s">
        <v>113</v>
      </c>
      <c r="B32" s="158" t="s">
        <v>11</v>
      </c>
      <c r="C32" s="62">
        <v>0</v>
      </c>
      <c r="D32" s="62">
        <v>0</v>
      </c>
      <c r="E32" s="62">
        <v>0</v>
      </c>
    </row>
    <row r="34" spans="1:20" s="60" customFormat="1" ht="12.75" customHeight="1" x14ac:dyDescent="0.2">
      <c r="A34" s="108" t="s">
        <v>230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</row>
    <row r="35" spans="1:20" x14ac:dyDescent="0.25">
      <c r="A35" s="61"/>
    </row>
    <row r="36" spans="1:20" ht="133.5" customHeight="1" x14ac:dyDescent="0.25">
      <c r="A36" s="147" t="s">
        <v>2</v>
      </c>
      <c r="B36" s="147" t="s">
        <v>12</v>
      </c>
      <c r="C36" s="147" t="s">
        <v>13</v>
      </c>
      <c r="D36" s="147"/>
      <c r="E36" s="147"/>
      <c r="F36" s="147"/>
      <c r="G36" s="147" t="s">
        <v>14</v>
      </c>
      <c r="H36" s="147"/>
      <c r="I36" s="147"/>
      <c r="J36" s="147"/>
      <c r="K36" s="147" t="s">
        <v>15</v>
      </c>
      <c r="L36" s="147"/>
      <c r="M36" s="147"/>
      <c r="N36" s="147"/>
      <c r="O36" s="147" t="s">
        <v>16</v>
      </c>
      <c r="P36" s="147"/>
      <c r="Q36" s="147"/>
      <c r="R36" s="147"/>
      <c r="S36" s="147" t="s">
        <v>17</v>
      </c>
      <c r="T36" s="147" t="s">
        <v>18</v>
      </c>
    </row>
    <row r="37" spans="1:20" ht="33" customHeight="1" x14ac:dyDescent="0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</row>
    <row r="38" spans="1:20" x14ac:dyDescent="0.25">
      <c r="A38" s="147"/>
      <c r="B38" s="147"/>
      <c r="C38" s="148" t="s">
        <v>19</v>
      </c>
      <c r="D38" s="148" t="s">
        <v>20</v>
      </c>
      <c r="E38" s="148" t="s">
        <v>21</v>
      </c>
      <c r="F38" s="148" t="s">
        <v>22</v>
      </c>
      <c r="G38" s="148" t="s">
        <v>19</v>
      </c>
      <c r="H38" s="148" t="s">
        <v>20</v>
      </c>
      <c r="I38" s="148" t="s">
        <v>21</v>
      </c>
      <c r="J38" s="148" t="s">
        <v>22</v>
      </c>
      <c r="K38" s="148" t="s">
        <v>19</v>
      </c>
      <c r="L38" s="148" t="s">
        <v>20</v>
      </c>
      <c r="M38" s="148" t="s">
        <v>21</v>
      </c>
      <c r="N38" s="148" t="s">
        <v>22</v>
      </c>
      <c r="O38" s="148" t="s">
        <v>19</v>
      </c>
      <c r="P38" s="148" t="s">
        <v>20</v>
      </c>
      <c r="Q38" s="148" t="s">
        <v>21</v>
      </c>
      <c r="R38" s="148" t="s">
        <v>22</v>
      </c>
      <c r="S38" s="147"/>
      <c r="T38" s="147"/>
    </row>
    <row r="39" spans="1:20" x14ac:dyDescent="0.25">
      <c r="A39" s="148">
        <v>1</v>
      </c>
      <c r="B39" s="148">
        <v>2</v>
      </c>
      <c r="C39" s="148">
        <v>3</v>
      </c>
      <c r="D39" s="148">
        <v>4</v>
      </c>
      <c r="E39" s="148">
        <v>5</v>
      </c>
      <c r="F39" s="148">
        <v>6</v>
      </c>
      <c r="G39" s="148">
        <v>7</v>
      </c>
      <c r="H39" s="148">
        <v>8</v>
      </c>
      <c r="I39" s="148">
        <v>9</v>
      </c>
      <c r="J39" s="148">
        <v>10</v>
      </c>
      <c r="K39" s="148">
        <v>11</v>
      </c>
      <c r="L39" s="148">
        <v>12</v>
      </c>
      <c r="M39" s="148">
        <v>13</v>
      </c>
      <c r="N39" s="148">
        <v>14</v>
      </c>
      <c r="O39" s="148">
        <v>15</v>
      </c>
      <c r="P39" s="148">
        <v>16</v>
      </c>
      <c r="Q39" s="148">
        <v>17</v>
      </c>
      <c r="R39" s="148">
        <v>18</v>
      </c>
      <c r="S39" s="148">
        <v>19</v>
      </c>
      <c r="T39" s="148">
        <v>20</v>
      </c>
    </row>
    <row r="40" spans="1:20" x14ac:dyDescent="0.25">
      <c r="A40" s="148">
        <v>1</v>
      </c>
      <c r="B40" s="159" t="s">
        <v>245</v>
      </c>
      <c r="C40" s="148"/>
      <c r="D40" s="148"/>
      <c r="E40" s="148">
        <f>D7</f>
        <v>0.54100000000000004</v>
      </c>
      <c r="F40" s="148">
        <f>D12</f>
        <v>0.54100000000000004</v>
      </c>
      <c r="G40" s="148"/>
      <c r="H40" s="148"/>
      <c r="I40" s="148">
        <f>D13</f>
        <v>1.6163000000000001</v>
      </c>
      <c r="J40" s="148">
        <f>D18</f>
        <v>1.6163000000000001</v>
      </c>
      <c r="K40" s="148"/>
      <c r="L40" s="148"/>
      <c r="M40" s="148">
        <f>D23</f>
        <v>6.3506999999999998</v>
      </c>
      <c r="N40" s="148">
        <f>D24</f>
        <v>6.3506999999999998</v>
      </c>
      <c r="O40" s="148"/>
      <c r="P40" s="148"/>
      <c r="Q40" s="148">
        <v>0</v>
      </c>
      <c r="R40" s="148">
        <v>0</v>
      </c>
      <c r="S40" s="148">
        <v>0.89749999999999996</v>
      </c>
      <c r="T40" s="148">
        <v>0</v>
      </c>
    </row>
    <row r="41" spans="1:20" x14ac:dyDescent="0.25">
      <c r="A41" s="148" t="s">
        <v>23</v>
      </c>
      <c r="B41" s="159" t="s">
        <v>24</v>
      </c>
      <c r="C41" s="62">
        <f>C40</f>
        <v>0</v>
      </c>
      <c r="D41" s="62">
        <f t="shared" ref="D41:S41" si="0">D40</f>
        <v>0</v>
      </c>
      <c r="E41" s="62">
        <f t="shared" si="0"/>
        <v>0.54100000000000004</v>
      </c>
      <c r="F41" s="62">
        <f t="shared" si="0"/>
        <v>0.54100000000000004</v>
      </c>
      <c r="G41" s="62">
        <f t="shared" si="0"/>
        <v>0</v>
      </c>
      <c r="H41" s="62">
        <f t="shared" si="0"/>
        <v>0</v>
      </c>
      <c r="I41" s="62">
        <f t="shared" si="0"/>
        <v>1.6163000000000001</v>
      </c>
      <c r="J41" s="62">
        <f t="shared" si="0"/>
        <v>1.6163000000000001</v>
      </c>
      <c r="K41" s="62">
        <f t="shared" si="0"/>
        <v>0</v>
      </c>
      <c r="L41" s="62">
        <f t="shared" si="0"/>
        <v>0</v>
      </c>
      <c r="M41" s="62">
        <f t="shared" si="0"/>
        <v>6.3506999999999998</v>
      </c>
      <c r="N41" s="62">
        <f t="shared" si="0"/>
        <v>6.3506999999999998</v>
      </c>
      <c r="O41" s="62">
        <f t="shared" si="0"/>
        <v>0</v>
      </c>
      <c r="P41" s="62">
        <f t="shared" si="0"/>
        <v>0</v>
      </c>
      <c r="Q41" s="62">
        <f t="shared" si="0"/>
        <v>0</v>
      </c>
      <c r="R41" s="62">
        <f t="shared" si="0"/>
        <v>0</v>
      </c>
      <c r="S41" s="62">
        <f t="shared" si="0"/>
        <v>0.89749999999999996</v>
      </c>
      <c r="T41" s="62">
        <v>0</v>
      </c>
    </row>
    <row r="42" spans="1:20" x14ac:dyDescent="0.25">
      <c r="A42" s="61"/>
    </row>
    <row r="43" spans="1:20" ht="15" customHeight="1" x14ac:dyDescent="0.25">
      <c r="A43" s="108" t="s">
        <v>124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5" customHeight="1" x14ac:dyDescent="0.25">
      <c r="A44" s="110" t="s">
        <v>125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5" customHeight="1" x14ac:dyDescent="0.25">
      <c r="A45" s="110" t="s">
        <v>126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5" customHeight="1" x14ac:dyDescent="0.25">
      <c r="A46" s="110" t="s">
        <v>127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5" customHeight="1" x14ac:dyDescent="0.25">
      <c r="A47" s="108" t="s">
        <v>25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</sheetData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85" zoomScaleSheetLayoutView="85" workbookViewId="0">
      <selection activeCell="P1" sqref="P1"/>
    </sheetView>
  </sheetViews>
  <sheetFormatPr defaultRowHeight="15" x14ac:dyDescent="0.2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7" width="10.7109375" style="1" customWidth="1"/>
    <col min="8" max="8" width="11.42578125" style="1" customWidth="1"/>
    <col min="9" max="9" width="10.85546875" style="1" customWidth="1"/>
    <col min="10" max="10" width="10.140625" style="1" customWidth="1"/>
    <col min="11" max="11" width="11.140625" style="1" customWidth="1"/>
    <col min="12" max="12" width="9.140625" style="1"/>
    <col min="13" max="13" width="10.85546875" style="1" customWidth="1"/>
    <col min="14" max="14" width="11.140625" style="1" customWidth="1"/>
    <col min="15" max="15" width="10.42578125" style="1" customWidth="1"/>
    <col min="16" max="16" width="9.140625" style="1"/>
    <col min="17" max="17" width="11" style="1" customWidth="1"/>
    <col min="18" max="18" width="9.140625" style="1"/>
    <col min="19" max="19" width="10.42578125" style="1" customWidth="1"/>
    <col min="20" max="16384" width="9.140625" style="1"/>
  </cols>
  <sheetData>
    <row r="1" spans="1:18" s="3" customFormat="1" ht="15.75" x14ac:dyDescent="0.25">
      <c r="A1" s="134" t="s">
        <v>231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8" x14ac:dyDescent="0.25">
      <c r="A2" s="13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8" ht="56.25" customHeight="1" x14ac:dyDescent="0.25">
      <c r="A3" s="129" t="s">
        <v>232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1"/>
      <c r="P3" s="131"/>
      <c r="Q3" s="131"/>
      <c r="R3" s="131"/>
    </row>
    <row r="4" spans="1:18" x14ac:dyDescent="0.25">
      <c r="A4" s="129" t="s">
        <v>121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31"/>
      <c r="P4" s="131"/>
      <c r="Q4" s="131"/>
      <c r="R4" s="131"/>
    </row>
    <row r="5" spans="1:18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x14ac:dyDescent="0.25">
      <c r="A6" s="132" t="s">
        <v>120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x14ac:dyDescent="0.25">
      <c r="A7" s="132" t="s">
        <v>122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x14ac:dyDescent="0.25">
      <c r="A8" s="129" t="s">
        <v>27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131"/>
      <c r="P8" s="131"/>
      <c r="Q8" s="131"/>
      <c r="R8" s="131"/>
    </row>
    <row r="9" spans="1:18" x14ac:dyDescent="0.25">
      <c r="A9" s="129" t="s">
        <v>28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8" x14ac:dyDescent="0.25">
      <c r="A10" s="2"/>
    </row>
    <row r="11" spans="1:18" x14ac:dyDescent="0.25">
      <c r="A11" s="121" t="s">
        <v>2</v>
      </c>
      <c r="B11" s="121" t="s">
        <v>0</v>
      </c>
      <c r="C11" s="121" t="s">
        <v>29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 t="s">
        <v>30</v>
      </c>
    </row>
    <row r="12" spans="1:18" ht="25.5" customHeight="1" x14ac:dyDescent="0.25">
      <c r="A12" s="121"/>
      <c r="B12" s="121"/>
      <c r="C12" s="121" t="s">
        <v>31</v>
      </c>
      <c r="D12" s="121"/>
      <c r="E12" s="121"/>
      <c r="F12" s="121" t="s">
        <v>32</v>
      </c>
      <c r="G12" s="121"/>
      <c r="H12" s="121"/>
      <c r="I12" s="121" t="s">
        <v>33</v>
      </c>
      <c r="J12" s="121"/>
      <c r="K12" s="121"/>
      <c r="L12" s="121" t="s">
        <v>34</v>
      </c>
      <c r="M12" s="121"/>
      <c r="N12" s="121"/>
      <c r="O12" s="121" t="s">
        <v>35</v>
      </c>
      <c r="P12" s="121"/>
      <c r="Q12" s="121"/>
      <c r="R12" s="121"/>
    </row>
    <row r="13" spans="1:18" ht="51" x14ac:dyDescent="0.25">
      <c r="A13" s="121"/>
      <c r="B13" s="121"/>
      <c r="C13" s="7" t="s">
        <v>3</v>
      </c>
      <c r="D13" s="7" t="s">
        <v>4</v>
      </c>
      <c r="E13" s="25" t="s">
        <v>5</v>
      </c>
      <c r="F13" s="7" t="s">
        <v>3</v>
      </c>
      <c r="G13" s="7" t="s">
        <v>4</v>
      </c>
      <c r="H13" s="25" t="s">
        <v>5</v>
      </c>
      <c r="I13" s="7" t="s">
        <v>3</v>
      </c>
      <c r="J13" s="7" t="s">
        <v>4</v>
      </c>
      <c r="K13" s="7" t="s">
        <v>36</v>
      </c>
      <c r="L13" s="7" t="s">
        <v>3</v>
      </c>
      <c r="M13" s="7" t="s">
        <v>4</v>
      </c>
      <c r="N13" s="7" t="s">
        <v>36</v>
      </c>
      <c r="O13" s="7" t="s">
        <v>3</v>
      </c>
      <c r="P13" s="7" t="s">
        <v>4</v>
      </c>
      <c r="Q13" s="7" t="s">
        <v>36</v>
      </c>
      <c r="R13" s="9"/>
    </row>
    <row r="14" spans="1:18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</row>
    <row r="15" spans="1:18" ht="38.25" x14ac:dyDescent="0.25">
      <c r="A15" s="7">
        <v>1</v>
      </c>
      <c r="B15" s="10" t="s">
        <v>37</v>
      </c>
      <c r="C15" s="62">
        <v>4</v>
      </c>
      <c r="D15" s="32">
        <v>1</v>
      </c>
      <c r="E15" s="62">
        <f>(D15-C15)/C15*100</f>
        <v>-75</v>
      </c>
      <c r="F15" s="62">
        <v>4</v>
      </c>
      <c r="G15" s="32">
        <v>5</v>
      </c>
      <c r="H15" s="62">
        <f>(G15-F15)/F15*100</f>
        <v>25</v>
      </c>
      <c r="I15" s="62">
        <v>0</v>
      </c>
      <c r="J15" s="62">
        <v>1</v>
      </c>
      <c r="K15" s="62">
        <v>100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7</v>
      </c>
    </row>
    <row r="16" spans="1:18" ht="63.75" x14ac:dyDescent="0.25">
      <c r="A16" s="7">
        <v>2</v>
      </c>
      <c r="B16" s="9" t="s">
        <v>38</v>
      </c>
      <c r="C16" s="62">
        <v>4</v>
      </c>
      <c r="D16" s="32">
        <v>1</v>
      </c>
      <c r="E16" s="62">
        <f>(D16-C16)/C16*100</f>
        <v>-75</v>
      </c>
      <c r="F16" s="62">
        <v>4</v>
      </c>
      <c r="G16" s="32">
        <v>4</v>
      </c>
      <c r="H16" s="62">
        <f>(G16-F16)/F16*100</f>
        <v>0</v>
      </c>
      <c r="I16" s="62">
        <v>0</v>
      </c>
      <c r="J16" s="62">
        <v>1</v>
      </c>
      <c r="K16" s="62">
        <v>100</v>
      </c>
      <c r="L16" s="62">
        <v>0</v>
      </c>
      <c r="M16" s="62">
        <v>0</v>
      </c>
      <c r="N16" s="62">
        <v>0</v>
      </c>
      <c r="O16" s="62">
        <v>0</v>
      </c>
      <c r="P16" s="8">
        <v>0</v>
      </c>
      <c r="Q16" s="8">
        <v>0</v>
      </c>
      <c r="R16" s="26">
        <f>D16+G16+J16+M16+P16</f>
        <v>6</v>
      </c>
    </row>
    <row r="17" spans="1:20" ht="102" x14ac:dyDescent="0.25">
      <c r="A17" s="7">
        <v>3</v>
      </c>
      <c r="B17" s="9" t="s">
        <v>39</v>
      </c>
      <c r="C17" s="62">
        <v>0</v>
      </c>
      <c r="D17" s="62">
        <v>0</v>
      </c>
      <c r="E17" s="65">
        <v>0</v>
      </c>
      <c r="F17" s="62">
        <v>0</v>
      </c>
      <c r="G17" s="62">
        <v>0</v>
      </c>
      <c r="H17" s="65">
        <v>0</v>
      </c>
      <c r="I17" s="62">
        <v>0</v>
      </c>
      <c r="J17" s="62">
        <v>0</v>
      </c>
      <c r="K17" s="65">
        <v>0</v>
      </c>
      <c r="L17" s="62">
        <v>0</v>
      </c>
      <c r="M17" s="62">
        <v>0</v>
      </c>
      <c r="N17" s="65">
        <v>0</v>
      </c>
      <c r="O17" s="62">
        <v>0</v>
      </c>
      <c r="P17" s="62">
        <v>0</v>
      </c>
      <c r="Q17" s="65">
        <v>0</v>
      </c>
      <c r="R17" s="62">
        <v>0</v>
      </c>
    </row>
    <row r="18" spans="1:20" x14ac:dyDescent="0.25">
      <c r="A18" s="11" t="s">
        <v>105</v>
      </c>
      <c r="B18" s="9" t="s">
        <v>40</v>
      </c>
      <c r="C18" s="62">
        <v>0</v>
      </c>
      <c r="D18" s="62">
        <v>0</v>
      </c>
      <c r="E18" s="65">
        <v>0</v>
      </c>
      <c r="F18" s="62">
        <v>0</v>
      </c>
      <c r="G18" s="62">
        <v>0</v>
      </c>
      <c r="H18" s="65">
        <v>0</v>
      </c>
      <c r="I18" s="62">
        <v>0</v>
      </c>
      <c r="J18" s="62">
        <v>0</v>
      </c>
      <c r="K18" s="65">
        <v>0</v>
      </c>
      <c r="L18" s="62">
        <v>0</v>
      </c>
      <c r="M18" s="62">
        <v>0</v>
      </c>
      <c r="N18" s="65">
        <v>0</v>
      </c>
      <c r="O18" s="62">
        <v>0</v>
      </c>
      <c r="P18" s="62">
        <v>0</v>
      </c>
      <c r="Q18" s="65">
        <v>0</v>
      </c>
      <c r="R18" s="62">
        <v>0</v>
      </c>
    </row>
    <row r="19" spans="1:20" x14ac:dyDescent="0.25">
      <c r="A19" s="11" t="s">
        <v>106</v>
      </c>
      <c r="B19" s="9" t="s">
        <v>41</v>
      </c>
      <c r="C19" s="62">
        <v>0</v>
      </c>
      <c r="D19" s="62">
        <v>0</v>
      </c>
      <c r="E19" s="65">
        <v>0</v>
      </c>
      <c r="F19" s="62">
        <v>0</v>
      </c>
      <c r="G19" s="62">
        <v>0</v>
      </c>
      <c r="H19" s="65">
        <v>0</v>
      </c>
      <c r="I19" s="62">
        <v>0</v>
      </c>
      <c r="J19" s="62">
        <v>0</v>
      </c>
      <c r="K19" s="65">
        <v>0</v>
      </c>
      <c r="L19" s="62">
        <v>0</v>
      </c>
      <c r="M19" s="62">
        <v>0</v>
      </c>
      <c r="N19" s="65">
        <v>0</v>
      </c>
      <c r="O19" s="62">
        <v>0</v>
      </c>
      <c r="P19" s="62">
        <v>0</v>
      </c>
      <c r="Q19" s="65">
        <v>0</v>
      </c>
      <c r="R19" s="62">
        <v>0</v>
      </c>
    </row>
    <row r="20" spans="1:20" ht="63.75" x14ac:dyDescent="0.25">
      <c r="A20" s="7">
        <v>4</v>
      </c>
      <c r="B20" s="9" t="s">
        <v>42</v>
      </c>
      <c r="C20" s="62">
        <v>3</v>
      </c>
      <c r="D20" s="62">
        <v>4</v>
      </c>
      <c r="E20" s="70">
        <f>(D20-C20)/C20*100</f>
        <v>33.333333333333329</v>
      </c>
      <c r="F20" s="62">
        <v>3</v>
      </c>
      <c r="G20" s="62">
        <v>4</v>
      </c>
      <c r="H20" s="70">
        <f>(G20-F20)/F20*100</f>
        <v>33.333333333333329</v>
      </c>
      <c r="I20" s="62">
        <v>0</v>
      </c>
      <c r="J20" s="62">
        <v>4</v>
      </c>
      <c r="K20" s="62">
        <v>100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4</v>
      </c>
    </row>
    <row r="21" spans="1:20" ht="51" x14ac:dyDescent="0.25">
      <c r="A21" s="7">
        <v>5</v>
      </c>
      <c r="B21" s="9" t="s">
        <v>43</v>
      </c>
      <c r="C21" s="62">
        <v>4</v>
      </c>
      <c r="D21" s="32">
        <v>1</v>
      </c>
      <c r="E21" s="62">
        <f>(D21-C21)/C21*100</f>
        <v>-75</v>
      </c>
      <c r="F21" s="62">
        <v>2</v>
      </c>
      <c r="G21" s="62">
        <v>3</v>
      </c>
      <c r="H21" s="70">
        <f>(G21-F21)/F21*100</f>
        <v>50</v>
      </c>
      <c r="I21" s="62">
        <v>0</v>
      </c>
      <c r="J21" s="62">
        <v>1</v>
      </c>
      <c r="K21" s="62">
        <v>100</v>
      </c>
      <c r="L21" s="62">
        <v>0</v>
      </c>
      <c r="M21" s="62">
        <v>0</v>
      </c>
      <c r="N21" s="62">
        <v>0</v>
      </c>
      <c r="O21" s="62">
        <v>0</v>
      </c>
      <c r="P21" s="8">
        <v>0</v>
      </c>
      <c r="Q21" s="8">
        <v>0</v>
      </c>
      <c r="R21" s="26">
        <v>5</v>
      </c>
    </row>
    <row r="22" spans="1:20" ht="51" x14ac:dyDescent="0.25">
      <c r="A22" s="7">
        <v>6</v>
      </c>
      <c r="B22" s="9" t="s">
        <v>44</v>
      </c>
      <c r="C22" s="62">
        <v>4</v>
      </c>
      <c r="D22" s="62">
        <v>1</v>
      </c>
      <c r="E22" s="62">
        <f>(D22-C22)/C22*100</f>
        <v>-75</v>
      </c>
      <c r="F22" s="62">
        <v>2</v>
      </c>
      <c r="G22" s="62">
        <v>1</v>
      </c>
      <c r="H22" s="70">
        <f>(G22-F22)/F22*100</f>
        <v>-50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8">
        <v>0</v>
      </c>
      <c r="Q22" s="8">
        <v>0</v>
      </c>
      <c r="R22" s="26">
        <v>2</v>
      </c>
    </row>
    <row r="23" spans="1:20" ht="89.25" x14ac:dyDescent="0.25">
      <c r="A23" s="7">
        <v>7</v>
      </c>
      <c r="B23" s="9" t="s">
        <v>45</v>
      </c>
      <c r="C23" s="62">
        <v>0</v>
      </c>
      <c r="D23" s="62">
        <v>0</v>
      </c>
      <c r="E23" s="65">
        <v>0</v>
      </c>
      <c r="F23" s="62">
        <v>0</v>
      </c>
      <c r="G23" s="62">
        <v>0</v>
      </c>
      <c r="H23" s="65">
        <v>0</v>
      </c>
      <c r="I23" s="62">
        <v>0</v>
      </c>
      <c r="J23" s="62">
        <v>0</v>
      </c>
      <c r="K23" s="65">
        <v>0</v>
      </c>
      <c r="L23" s="62">
        <v>0</v>
      </c>
      <c r="M23" s="62">
        <v>0</v>
      </c>
      <c r="N23" s="65">
        <v>0</v>
      </c>
      <c r="O23" s="62">
        <v>0</v>
      </c>
      <c r="P23" s="62">
        <v>0</v>
      </c>
      <c r="Q23" s="65">
        <v>0</v>
      </c>
      <c r="R23" s="26">
        <f>C23+F23+J23+M23+P23</f>
        <v>0</v>
      </c>
    </row>
    <row r="24" spans="1:20" x14ac:dyDescent="0.25">
      <c r="A24" s="11" t="s">
        <v>114</v>
      </c>
      <c r="B24" s="9" t="s">
        <v>40</v>
      </c>
      <c r="C24" s="62">
        <v>0</v>
      </c>
      <c r="D24" s="62">
        <v>0</v>
      </c>
      <c r="E24" s="65">
        <v>0</v>
      </c>
      <c r="F24" s="62">
        <v>0</v>
      </c>
      <c r="G24" s="62">
        <v>0</v>
      </c>
      <c r="H24" s="65">
        <v>0</v>
      </c>
      <c r="I24" s="62">
        <v>0</v>
      </c>
      <c r="J24" s="62">
        <v>0</v>
      </c>
      <c r="K24" s="65">
        <v>0</v>
      </c>
      <c r="L24" s="62">
        <v>0</v>
      </c>
      <c r="M24" s="62">
        <v>0</v>
      </c>
      <c r="N24" s="65">
        <v>0</v>
      </c>
      <c r="O24" s="62">
        <v>0</v>
      </c>
      <c r="P24" s="62">
        <v>0</v>
      </c>
      <c r="Q24" s="65">
        <v>0</v>
      </c>
      <c r="R24" s="26">
        <f>C24+F24+J24+M24+P24</f>
        <v>0</v>
      </c>
    </row>
    <row r="25" spans="1:20" x14ac:dyDescent="0.25">
      <c r="A25" s="11" t="s">
        <v>115</v>
      </c>
      <c r="B25" s="9" t="s">
        <v>46</v>
      </c>
      <c r="C25" s="62">
        <v>0</v>
      </c>
      <c r="D25" s="62">
        <v>0</v>
      </c>
      <c r="E25" s="65">
        <v>0</v>
      </c>
      <c r="F25" s="62">
        <v>0</v>
      </c>
      <c r="G25" s="62">
        <v>0</v>
      </c>
      <c r="H25" s="65">
        <v>0</v>
      </c>
      <c r="I25" s="62">
        <v>0</v>
      </c>
      <c r="J25" s="62">
        <v>0</v>
      </c>
      <c r="K25" s="65">
        <v>0</v>
      </c>
      <c r="L25" s="62">
        <v>0</v>
      </c>
      <c r="M25" s="62">
        <v>0</v>
      </c>
      <c r="N25" s="65">
        <v>0</v>
      </c>
      <c r="O25" s="62">
        <v>0</v>
      </c>
      <c r="P25" s="62">
        <v>0</v>
      </c>
      <c r="Q25" s="65">
        <v>0</v>
      </c>
      <c r="R25" s="26">
        <f>C25+F25+J25+M25+P25</f>
        <v>0</v>
      </c>
    </row>
    <row r="26" spans="1:20" ht="51" x14ac:dyDescent="0.25">
      <c r="A26" s="7">
        <v>8</v>
      </c>
      <c r="B26" s="9" t="s">
        <v>47</v>
      </c>
      <c r="C26" s="62">
        <v>3</v>
      </c>
      <c r="D26" s="62">
        <v>30</v>
      </c>
      <c r="E26" s="62">
        <f>(D26-C26)/C26*100</f>
        <v>900</v>
      </c>
      <c r="F26" s="62">
        <v>10</v>
      </c>
      <c r="G26" s="62">
        <v>60</v>
      </c>
      <c r="H26" s="62">
        <f>(G26-F26)/F26*100</f>
        <v>500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8">
        <v>0</v>
      </c>
      <c r="Q26" s="8">
        <v>0</v>
      </c>
      <c r="R26" s="26">
        <f>(D26+G26)/2</f>
        <v>45</v>
      </c>
    </row>
    <row r="27" spans="1:20" x14ac:dyDescent="0.25">
      <c r="A27" s="2"/>
    </row>
    <row r="28" spans="1:20" ht="33.75" customHeight="1" x14ac:dyDescent="0.25">
      <c r="A28" s="127" t="s">
        <v>48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  <row r="29" spans="1:20" ht="28.5" customHeight="1" thickBot="1" x14ac:dyDescent="0.3">
      <c r="A29" s="133" t="s">
        <v>255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20" ht="15" customHeight="1" x14ac:dyDescent="0.25">
      <c r="B30" s="117" t="s">
        <v>49</v>
      </c>
      <c r="C30" s="118"/>
      <c r="D30" s="119"/>
      <c r="E30" s="117">
        <v>15</v>
      </c>
      <c r="F30" s="118"/>
      <c r="G30" s="118">
        <v>150</v>
      </c>
      <c r="H30" s="118"/>
      <c r="I30" s="118">
        <v>250</v>
      </c>
      <c r="J30" s="118"/>
      <c r="K30" s="118">
        <v>670</v>
      </c>
      <c r="L30" s="119"/>
      <c r="M30" s="117">
        <v>15</v>
      </c>
      <c r="N30" s="118"/>
      <c r="O30" s="118">
        <v>150</v>
      </c>
      <c r="P30" s="118"/>
      <c r="Q30" s="118">
        <v>250</v>
      </c>
      <c r="R30" s="118"/>
      <c r="S30" s="118">
        <v>670</v>
      </c>
      <c r="T30" s="119"/>
    </row>
    <row r="31" spans="1:20" x14ac:dyDescent="0.25">
      <c r="B31" s="120" t="s">
        <v>50</v>
      </c>
      <c r="C31" s="121"/>
      <c r="D31" s="122"/>
      <c r="E31" s="71" t="s">
        <v>51</v>
      </c>
      <c r="F31" s="63" t="s">
        <v>52</v>
      </c>
      <c r="G31" s="63" t="s">
        <v>51</v>
      </c>
      <c r="H31" s="63" t="s">
        <v>52</v>
      </c>
      <c r="I31" s="63" t="s">
        <v>51</v>
      </c>
      <c r="J31" s="63" t="s">
        <v>52</v>
      </c>
      <c r="K31" s="63" t="s">
        <v>51</v>
      </c>
      <c r="L31" s="72" t="s">
        <v>52</v>
      </c>
      <c r="M31" s="71" t="s">
        <v>51</v>
      </c>
      <c r="N31" s="63" t="s">
        <v>52</v>
      </c>
      <c r="O31" s="63" t="s">
        <v>51</v>
      </c>
      <c r="P31" s="63" t="s">
        <v>52</v>
      </c>
      <c r="Q31" s="63" t="s">
        <v>51</v>
      </c>
      <c r="R31" s="63" t="s">
        <v>52</v>
      </c>
      <c r="S31" s="63" t="s">
        <v>51</v>
      </c>
      <c r="T31" s="72" t="s">
        <v>52</v>
      </c>
    </row>
    <row r="32" spans="1:20" ht="114.75" x14ac:dyDescent="0.25">
      <c r="B32" s="71" t="s">
        <v>53</v>
      </c>
      <c r="C32" s="63" t="s">
        <v>54</v>
      </c>
      <c r="D32" s="72" t="s">
        <v>55</v>
      </c>
      <c r="E32" s="73" t="s">
        <v>240</v>
      </c>
      <c r="F32" s="22" t="s">
        <v>241</v>
      </c>
      <c r="G32" s="22" t="s">
        <v>240</v>
      </c>
      <c r="H32" s="22" t="s">
        <v>240</v>
      </c>
      <c r="I32" s="22" t="s">
        <v>240</v>
      </c>
      <c r="J32" s="22" t="s">
        <v>240</v>
      </c>
      <c r="K32" s="22" t="s">
        <v>240</v>
      </c>
      <c r="L32" s="74" t="s">
        <v>240</v>
      </c>
      <c r="M32" s="73" t="s">
        <v>240</v>
      </c>
      <c r="N32" s="22" t="s">
        <v>241</v>
      </c>
      <c r="O32" s="22" t="s">
        <v>240</v>
      </c>
      <c r="P32" s="22" t="s">
        <v>240</v>
      </c>
      <c r="Q32" s="22" t="s">
        <v>240</v>
      </c>
      <c r="R32" s="22" t="s">
        <v>240</v>
      </c>
      <c r="S32" s="22" t="s">
        <v>240</v>
      </c>
      <c r="T32" s="74" t="s">
        <v>240</v>
      </c>
    </row>
    <row r="33" spans="2:20" x14ac:dyDescent="0.25">
      <c r="B33" s="120" t="s">
        <v>256</v>
      </c>
      <c r="C33" s="121"/>
      <c r="D33" s="122"/>
      <c r="E33" s="120" t="s">
        <v>257</v>
      </c>
      <c r="F33" s="121"/>
      <c r="G33" s="121"/>
      <c r="H33" s="121"/>
      <c r="I33" s="121"/>
      <c r="J33" s="121"/>
      <c r="K33" s="121"/>
      <c r="L33" s="122"/>
      <c r="M33" s="120" t="s">
        <v>258</v>
      </c>
      <c r="N33" s="121"/>
      <c r="O33" s="121"/>
      <c r="P33" s="121"/>
      <c r="Q33" s="121"/>
      <c r="R33" s="121"/>
      <c r="S33" s="121"/>
      <c r="T33" s="122"/>
    </row>
    <row r="34" spans="2:20" x14ac:dyDescent="0.25">
      <c r="B34" s="113" t="s">
        <v>242</v>
      </c>
      <c r="C34" s="114" t="s">
        <v>56</v>
      </c>
      <c r="D34" s="75" t="s">
        <v>57</v>
      </c>
      <c r="E34" s="76">
        <f>2*24904</f>
        <v>49808</v>
      </c>
      <c r="F34" s="115">
        <v>550</v>
      </c>
      <c r="G34" s="77">
        <f t="shared" ref="G34:G41" si="0">2*24904</f>
        <v>49808</v>
      </c>
      <c r="H34" s="77">
        <f>24904</f>
        <v>24904</v>
      </c>
      <c r="I34" s="77">
        <f>(2*24903.96+2*(4204843.44*0.3)+5352.11*250)</f>
        <v>3910741.4840000002</v>
      </c>
      <c r="J34" s="77">
        <f>24903.96+(4204843.44*0.3)+5352.11*250</f>
        <v>2624384.4920000001</v>
      </c>
      <c r="K34" s="77">
        <f>2*24903.96+2*(4204843.44*0.3)+5352.11*670</f>
        <v>6158627.6840000004</v>
      </c>
      <c r="L34" s="78">
        <f>24903.96+(4204843.44*0.3)+5352.11*670</f>
        <v>4872270.6919999998</v>
      </c>
      <c r="M34" s="76">
        <f>(2*378.96+2*9105.9*0.3+5438.15)*15</f>
        <v>174894.15000000002</v>
      </c>
      <c r="N34" s="115">
        <v>550</v>
      </c>
      <c r="O34" s="77">
        <f>(2*378.96+2*9105.9*0.3+5438.15)*150</f>
        <v>1748941.5</v>
      </c>
      <c r="P34" s="77">
        <f>(378.96+9105.9*0.3+5438.15)*150</f>
        <v>1282331.9999999998</v>
      </c>
      <c r="Q34" s="77">
        <f>(2*378.96+2*9105.9*0.3+5438.15)*250</f>
        <v>2914902.5</v>
      </c>
      <c r="R34" s="77">
        <f>(378.96+9105.9*0.3+5438.15)*250</f>
        <v>2137220</v>
      </c>
      <c r="S34" s="77">
        <f>(2*378.96+2*9105.9*0.3+5438.15)*670</f>
        <v>7811938.7000000002</v>
      </c>
      <c r="T34" s="78">
        <f>(378.96+9105.9*0.3+5438.15)*670</f>
        <v>5727749.5999999996</v>
      </c>
    </row>
    <row r="35" spans="2:20" x14ac:dyDescent="0.25">
      <c r="B35" s="113"/>
      <c r="C35" s="114"/>
      <c r="D35" s="75" t="s">
        <v>58</v>
      </c>
      <c r="E35" s="76">
        <f>2*24904</f>
        <v>49808</v>
      </c>
      <c r="F35" s="116"/>
      <c r="G35" s="77">
        <f t="shared" si="0"/>
        <v>49808</v>
      </c>
      <c r="H35" s="77">
        <f>24904</f>
        <v>24904</v>
      </c>
      <c r="I35" s="77">
        <f>(2*24903.96+2*(1049755.94*0.3)+5352.11*250)</f>
        <v>2017688.9839999999</v>
      </c>
      <c r="J35" s="77">
        <f>24903.96+(1049755.94*0.3)+5352.11*250</f>
        <v>1677858.2420000001</v>
      </c>
      <c r="K35" s="77">
        <f>2*24903.96+2*(1049755*0.3)+5352.11*670</f>
        <v>4265574.62</v>
      </c>
      <c r="L35" s="78">
        <f>24903.96+(1049755*0.3)+5352.11*670</f>
        <v>3925744.1599999997</v>
      </c>
      <c r="M35" s="76">
        <f>(2*378.96+2*2357.6*0.3+5438.15)*15</f>
        <v>114159.44999999998</v>
      </c>
      <c r="N35" s="116"/>
      <c r="O35" s="77">
        <f>(2*378.96+2*2357.6*0.3+5438.15)*150</f>
        <v>1141594.4999999998</v>
      </c>
      <c r="P35" s="77">
        <f>(378.96+2357.6*0.3+5438.15)*150</f>
        <v>978658.49999999988</v>
      </c>
      <c r="Q35" s="77">
        <f>(2*378.96+2*2357.6*0.3+5438.15)*250</f>
        <v>1902657.4999999998</v>
      </c>
      <c r="R35" s="77">
        <f>(378.96+2357.6*0.3+5438.15)*250</f>
        <v>1631097.4999999998</v>
      </c>
      <c r="S35" s="77">
        <f>(2*378.96+2*2357.6*0.3+5438.15)*670</f>
        <v>5099122.0999999996</v>
      </c>
      <c r="T35" s="78">
        <f>(378.96+2357.6*0.3+5438.15)*670</f>
        <v>4371341.3</v>
      </c>
    </row>
    <row r="36" spans="2:20" x14ac:dyDescent="0.25">
      <c r="B36" s="113"/>
      <c r="C36" s="114" t="s">
        <v>59</v>
      </c>
      <c r="D36" s="75" t="s">
        <v>57</v>
      </c>
      <c r="E36" s="76">
        <f>2*24903.96</f>
        <v>49807.92</v>
      </c>
      <c r="F36" s="115">
        <v>550</v>
      </c>
      <c r="G36" s="77">
        <f t="shared" si="0"/>
        <v>49808</v>
      </c>
      <c r="H36" s="77">
        <f>24904</f>
        <v>24904</v>
      </c>
      <c r="I36" s="77">
        <f>2*24903.96+2*(4204843.44*0.3)</f>
        <v>2572713.9840000002</v>
      </c>
      <c r="J36" s="77">
        <f>24903.96+(4204843.44*0.3)</f>
        <v>1286356.9920000001</v>
      </c>
      <c r="K36" s="77">
        <f>2*24903.96+2*(4204843.44*0.3)</f>
        <v>2572713.9840000002</v>
      </c>
      <c r="L36" s="78">
        <f>24903.96+(4204843.44*0.3)</f>
        <v>1286356.9920000001</v>
      </c>
      <c r="M36" s="76">
        <f>(2*378.96+2*9105.9*0.3)*15</f>
        <v>93321.9</v>
      </c>
      <c r="N36" s="115">
        <v>550</v>
      </c>
      <c r="O36" s="77">
        <f>(2*378.96+2*9105.9*0.3)*150</f>
        <v>933219</v>
      </c>
      <c r="P36" s="77">
        <f>(378.96+9105.9*0.3)*150</f>
        <v>466609.5</v>
      </c>
      <c r="Q36" s="77">
        <f>(2*378.96+2*9105.9*0.3)*250</f>
        <v>1555365</v>
      </c>
      <c r="R36" s="77">
        <f>(378.96+9105.9*0.3)*250</f>
        <v>777682.5</v>
      </c>
      <c r="S36" s="77">
        <f>(2*378.96+2*9105.9*0.3)*670</f>
        <v>4168378.2</v>
      </c>
      <c r="T36" s="78">
        <f>(378.96+9105.9*0.3)*670</f>
        <v>2084189.1</v>
      </c>
    </row>
    <row r="37" spans="2:20" x14ac:dyDescent="0.25">
      <c r="B37" s="113"/>
      <c r="C37" s="114"/>
      <c r="D37" s="75" t="s">
        <v>58</v>
      </c>
      <c r="E37" s="76">
        <f>2*24903.96</f>
        <v>49807.92</v>
      </c>
      <c r="F37" s="115"/>
      <c r="G37" s="77">
        <f t="shared" si="0"/>
        <v>49808</v>
      </c>
      <c r="H37" s="77">
        <f>24904</f>
        <v>24904</v>
      </c>
      <c r="I37" s="77">
        <f>2*24903.96+2*(1049755*0.3)</f>
        <v>679660.92</v>
      </c>
      <c r="J37" s="77">
        <f>24903.96+(1049755*0.3)</f>
        <v>339830.46</v>
      </c>
      <c r="K37" s="77">
        <f>2*24903.96+2*(1049755*0.3)</f>
        <v>679660.92</v>
      </c>
      <c r="L37" s="78">
        <f>24903.96+(1049755*0.3)</f>
        <v>339830.46</v>
      </c>
      <c r="M37" s="76">
        <f>(2*378.96+2*2357.6*0.3)*15</f>
        <v>32587.200000000001</v>
      </c>
      <c r="N37" s="115"/>
      <c r="O37" s="77">
        <f>(2*378.96+2*2357.6*0.3)*150</f>
        <v>325872</v>
      </c>
      <c r="P37" s="77">
        <f>(378.96+2357.6*0.3)*150</f>
        <v>162936</v>
      </c>
      <c r="Q37" s="77">
        <f>(2*378.96+2*2357.6*0.3)*250</f>
        <v>543120</v>
      </c>
      <c r="R37" s="77">
        <f>(378.96+2357.6*0.3)*250</f>
        <v>271560</v>
      </c>
      <c r="S37" s="77">
        <f>(2*378.96+2*2357.6*0.3)*670</f>
        <v>1455561.6</v>
      </c>
      <c r="T37" s="78">
        <f>(378.96+2357.6*0.3)*670</f>
        <v>727780.8</v>
      </c>
    </row>
    <row r="38" spans="2:20" x14ac:dyDescent="0.25">
      <c r="B38" s="113" t="s">
        <v>243</v>
      </c>
      <c r="C38" s="114" t="s">
        <v>56</v>
      </c>
      <c r="D38" s="75" t="s">
        <v>57</v>
      </c>
      <c r="E38" s="76">
        <f t="shared" ref="E38:E41" si="1">2*24903.96</f>
        <v>49807.92</v>
      </c>
      <c r="F38" s="115">
        <v>550</v>
      </c>
      <c r="G38" s="77">
        <f t="shared" si="0"/>
        <v>49808</v>
      </c>
      <c r="H38" s="77">
        <f>24904</f>
        <v>24904</v>
      </c>
      <c r="I38" s="77">
        <f>2*24903.96+2*(4204843.44*0.5)+5352.11*250</f>
        <v>5592678.8600000003</v>
      </c>
      <c r="J38" s="77">
        <f>24903.96+(4204843.44*0.5)+5352.11*250</f>
        <v>3465353.18</v>
      </c>
      <c r="K38" s="77">
        <f>2*24903.96+2*(4204843.44*0.5)+5352.11*670</f>
        <v>7840565.0600000005</v>
      </c>
      <c r="L38" s="78">
        <f>24903.96+(4204843.44*0.5)+5352.11*670</f>
        <v>5713239.3799999999</v>
      </c>
      <c r="M38" s="76">
        <f>(2*378.96+2*14006.07*0.5+3757.9)*15</f>
        <v>277828.34999999998</v>
      </c>
      <c r="N38" s="115">
        <v>550</v>
      </c>
      <c r="O38" s="77">
        <f>(2*378.96+2*14006.07*0.5+3757.9)*150</f>
        <v>2778283.5</v>
      </c>
      <c r="P38" s="77">
        <f>(378.96+14006.07*0.5+3757.9)*150</f>
        <v>1670984.25</v>
      </c>
      <c r="Q38" s="77">
        <f>(2*378.96+2*14006.07*0.5+3757.9)*250</f>
        <v>4630472.5</v>
      </c>
      <c r="R38" s="77">
        <f>(378.96+14006.07*0.5+3757.9)*250</f>
        <v>2784973.75</v>
      </c>
      <c r="S38" s="77">
        <f>(2*378.96+2*14006.07*0.5+3757.9)*650</f>
        <v>12039228.5</v>
      </c>
      <c r="T38" s="78">
        <f>(378.96+14006.07*0.5+3757.9)*670</f>
        <v>7463729.6500000004</v>
      </c>
    </row>
    <row r="39" spans="2:20" x14ac:dyDescent="0.25">
      <c r="B39" s="113"/>
      <c r="C39" s="114"/>
      <c r="D39" s="75" t="s">
        <v>58</v>
      </c>
      <c r="E39" s="76">
        <f t="shared" si="1"/>
        <v>49807.92</v>
      </c>
      <c r="F39" s="115"/>
      <c r="G39" s="77">
        <f t="shared" si="0"/>
        <v>49808</v>
      </c>
      <c r="H39" s="77">
        <f>24904</f>
        <v>24904</v>
      </c>
      <c r="I39" s="77">
        <f>2*24903.96+2*(1049755.94*0.5)+5352.11*250</f>
        <v>2437591.36</v>
      </c>
      <c r="J39" s="77">
        <f>24903.96+(1049755.94*0.5)+5352.11*250</f>
        <v>1887809.43</v>
      </c>
      <c r="K39" s="77">
        <f>2*24903.96+2*(1049755.94*0.5)+5352.11*670</f>
        <v>4685477.5599999996</v>
      </c>
      <c r="L39" s="78">
        <f>24903.96+(1049755.94*0.5)+5352.11*670</f>
        <v>4135695.63</v>
      </c>
      <c r="M39" s="76">
        <f>(2*378.96+2*10046.6*0.5+3757.9)*15</f>
        <v>218436.3</v>
      </c>
      <c r="N39" s="115"/>
      <c r="O39" s="77">
        <f>(2*378.96+2*10046.6*0.5+3757.9)*150</f>
        <v>2184363</v>
      </c>
      <c r="P39" s="77">
        <f>(378.96+10046.6*0.5+3757.9)*150</f>
        <v>1374024</v>
      </c>
      <c r="Q39" s="77">
        <f>(2*378.96+2*10046.6*0.5+3757.9)*250</f>
        <v>3640605</v>
      </c>
      <c r="R39" s="77">
        <f>(378.96+10046.6*0.5+3757.9)*250</f>
        <v>2290040</v>
      </c>
      <c r="S39" s="77">
        <f>(2*378.96+2*10046.6*0.5+3757.9)*670</f>
        <v>9756821.4000000004</v>
      </c>
      <c r="T39" s="78">
        <f>(378.96+10046.6*0.5+3757.9)*670</f>
        <v>6137307.2000000002</v>
      </c>
    </row>
    <row r="40" spans="2:20" x14ac:dyDescent="0.25">
      <c r="B40" s="113"/>
      <c r="C40" s="114" t="s">
        <v>59</v>
      </c>
      <c r="D40" s="75" t="s">
        <v>57</v>
      </c>
      <c r="E40" s="76">
        <f t="shared" si="1"/>
        <v>49807.92</v>
      </c>
      <c r="F40" s="115">
        <v>550</v>
      </c>
      <c r="G40" s="77">
        <f t="shared" si="0"/>
        <v>49808</v>
      </c>
      <c r="H40" s="77">
        <f>24904</f>
        <v>24904</v>
      </c>
      <c r="I40" s="77">
        <f>2*24903.96+2*(4204843.44*0.5)</f>
        <v>4254651.3600000003</v>
      </c>
      <c r="J40" s="77">
        <f>24903.96+(4204843.44*0.5)</f>
        <v>2127325.6800000002</v>
      </c>
      <c r="K40" s="77">
        <f>2*24903.96+2*(4204843.44*0.5)</f>
        <v>4254651.3600000003</v>
      </c>
      <c r="L40" s="78">
        <f>24903.96+(4204843.44*0.5)</f>
        <v>2127325.6800000002</v>
      </c>
      <c r="M40" s="76">
        <f>(2*378.96+2*14006.07*0.5)*15</f>
        <v>221459.85</v>
      </c>
      <c r="N40" s="115">
        <v>550</v>
      </c>
      <c r="O40" s="77">
        <f>(2*378.96+2*14006.07*0.5)*150</f>
        <v>2214598.5</v>
      </c>
      <c r="P40" s="77">
        <f>(378.96+14006.07*0.5)*150</f>
        <v>1107299.25</v>
      </c>
      <c r="Q40" s="77">
        <f>(2*378.96+2*14006.07*0.5)*250</f>
        <v>3690997.5</v>
      </c>
      <c r="R40" s="77">
        <f>(378.96+14006.07*0.5)*250</f>
        <v>1845498.75</v>
      </c>
      <c r="S40" s="77">
        <f>(2*378.96+2*14006.07*0.5)*670</f>
        <v>9891873.3000000007</v>
      </c>
      <c r="T40" s="78">
        <f>(378.96+14006.07*0.5)*670</f>
        <v>4945936.6500000004</v>
      </c>
    </row>
    <row r="41" spans="2:20" x14ac:dyDescent="0.25">
      <c r="B41" s="113"/>
      <c r="C41" s="114"/>
      <c r="D41" s="75" t="s">
        <v>58</v>
      </c>
      <c r="E41" s="76">
        <f t="shared" si="1"/>
        <v>49807.92</v>
      </c>
      <c r="F41" s="115"/>
      <c r="G41" s="77">
        <f t="shared" si="0"/>
        <v>49808</v>
      </c>
      <c r="H41" s="77">
        <f>24904</f>
        <v>24904</v>
      </c>
      <c r="I41" s="77">
        <f>2*24903.96+2*(1049755.94*0.5)</f>
        <v>1099563.8599999999</v>
      </c>
      <c r="J41" s="77">
        <f>24903.96+(1049755.94*0.5)</f>
        <v>549781.92999999993</v>
      </c>
      <c r="K41" s="77">
        <f>2*24903.96+2*(1049755.94*0.5)</f>
        <v>1099563.8599999999</v>
      </c>
      <c r="L41" s="78">
        <f>24903.96+(1049755.94*0.5)</f>
        <v>549781.92999999993</v>
      </c>
      <c r="M41" s="76">
        <f>(2*378.96+2*10046.6*0.5)*15</f>
        <v>162067.80000000002</v>
      </c>
      <c r="N41" s="115"/>
      <c r="O41" s="77">
        <f>(2*378.96+2*10046.6*0.5)*150</f>
        <v>1620678</v>
      </c>
      <c r="P41" s="77">
        <f>(378.96+10046.6*0.5)*150</f>
        <v>810339</v>
      </c>
      <c r="Q41" s="77">
        <f>(2*378.96+2*10046.6*0.5)*250</f>
        <v>2701130</v>
      </c>
      <c r="R41" s="77">
        <f>(378.96+10046.6*0.5)*250</f>
        <v>1350565</v>
      </c>
      <c r="S41" s="77">
        <f>(2*378.96+2*10046.6*0.5)*670</f>
        <v>7239028.4000000004</v>
      </c>
      <c r="T41" s="78">
        <f>(378.96+10046.6*0.5)*670</f>
        <v>3619514.2</v>
      </c>
    </row>
    <row r="42" spans="2:20" x14ac:dyDescent="0.25">
      <c r="B42" s="123">
        <v>750</v>
      </c>
      <c r="C42" s="124" t="s">
        <v>56</v>
      </c>
      <c r="D42" s="79" t="s">
        <v>57</v>
      </c>
      <c r="E42" s="80">
        <f>2*24903.96+2*(4204843.44*0.75)+5352.11*15</f>
        <v>6437354.7300000004</v>
      </c>
      <c r="F42" s="81">
        <f>24903.96+(4204843.44*0.75)+5352.11*15</f>
        <v>3258818.19</v>
      </c>
      <c r="G42" s="81">
        <f>2*24903.96+2*(4204843.44*0.75)+5352.11*150</f>
        <v>7159889.5800000001</v>
      </c>
      <c r="H42" s="81">
        <f>24903.96+(4204843.44*0.75)+5352.11*150</f>
        <v>3981353.04</v>
      </c>
      <c r="I42" s="81">
        <f>2*24903.96+2*(4204843.44*0.75)+5352.11*250</f>
        <v>7695100.5800000001</v>
      </c>
      <c r="J42" s="81">
        <f>24903.96+(4204843.44*0.75)+5352.11*250</f>
        <v>4516564.04</v>
      </c>
      <c r="K42" s="81">
        <f>2*24903.96+2*(4204843.44*0.75)+5352.11*670</f>
        <v>9942986.7799999993</v>
      </c>
      <c r="L42" s="82">
        <f>24903.96+(4204843.44*0.75)+5352.11*670</f>
        <v>6764450.2400000002</v>
      </c>
      <c r="M42" s="80">
        <f>2*378.96*15+2*(4204843.44*0.75)+5352.11*15</f>
        <v>6398915.6100000003</v>
      </c>
      <c r="N42" s="81">
        <f>378.96*15+(4204843.44*0.75)+5352.11*15</f>
        <v>3239598.63</v>
      </c>
      <c r="O42" s="81">
        <f>2*378.96*150+2*(4204843.44*0.75)+5352.11*150</f>
        <v>7223769.6600000001</v>
      </c>
      <c r="P42" s="81">
        <f>378.96*150+(4204843.44*0.75)+5352.11*150</f>
        <v>4013293.08</v>
      </c>
      <c r="Q42" s="81">
        <f>2*378.96*250+2*(4204843.44*0.75)+5352.11*250</f>
        <v>7834772.6600000001</v>
      </c>
      <c r="R42" s="81">
        <f>378.96*250+(4204843.44*0.75)+5352.11*250</f>
        <v>4586400.08</v>
      </c>
      <c r="S42" s="81">
        <f>2*378.96*670+2*(4204843.44*0.75)+5352.11*670</f>
        <v>10400985.26</v>
      </c>
      <c r="T42" s="82">
        <f>378.96*670+(4204843.44*0.75)+5352.11*670</f>
        <v>6993449.4800000004</v>
      </c>
    </row>
    <row r="43" spans="2:20" x14ac:dyDescent="0.25">
      <c r="B43" s="123"/>
      <c r="C43" s="124"/>
      <c r="D43" s="79" t="s">
        <v>58</v>
      </c>
      <c r="E43" s="80">
        <f>2*24903.96+2*(1049755.94*0.75)+5352.11*15</f>
        <v>1704723.4799999997</v>
      </c>
      <c r="F43" s="81">
        <f>24903.96+(1049755.94*0.75)+5352.11*15</f>
        <v>892502.56499999994</v>
      </c>
      <c r="G43" s="81">
        <f>2*24903.96+2*(1049755.94*0.75)+5352.11*150</f>
        <v>2427258.33</v>
      </c>
      <c r="H43" s="81">
        <f>24903.96+(1049755.94*0.75)+5352.11*150</f>
        <v>1615037.415</v>
      </c>
      <c r="I43" s="81">
        <f>2*24903.96+2*(1049755.94*0.75)+5352.11*250</f>
        <v>2962469.33</v>
      </c>
      <c r="J43" s="81">
        <f>24903.96+(1049755.94*0.75)+5352.11*250</f>
        <v>2150248.415</v>
      </c>
      <c r="K43" s="81">
        <f>2*24903.96+2*(1049755.94*0.75)+5352.11*670</f>
        <v>5210355.5299999993</v>
      </c>
      <c r="L43" s="82">
        <f>24903.96+(1049755.94*0.75)+5352.11*670</f>
        <v>4398134.6149999993</v>
      </c>
      <c r="M43" s="80">
        <f>2*378.96*15+2*(1049755.94*0.75)+5352.11*15</f>
        <v>1666284.3599999999</v>
      </c>
      <c r="N43" s="81">
        <f>378.96*15+(1049755.94*0.75)+5352.11*15</f>
        <v>873283.005</v>
      </c>
      <c r="O43" s="81">
        <f>2*378.96*150+2*(1049755.94*0.75)+5352.11*150</f>
        <v>2491138.41</v>
      </c>
      <c r="P43" s="81">
        <f>378.96*150+(1049755.94*0.75)+5352.11*150</f>
        <v>1646977.4550000001</v>
      </c>
      <c r="Q43" s="81">
        <f>2*378.96*250+2*(1049755.94*0.75)+5352.11*250</f>
        <v>3102141.41</v>
      </c>
      <c r="R43" s="81">
        <f>378.96*250+(1049755.94*0.75)+5352.11*250</f>
        <v>2220084.4550000001</v>
      </c>
      <c r="S43" s="81">
        <f>2*378.96*670+2*(1049755.94*0.75)+5352.11*670</f>
        <v>5668354.0099999998</v>
      </c>
      <c r="T43" s="82">
        <f>378.96*670+(1049755.94*0.75)+5352.11*670</f>
        <v>4627133.8549999995</v>
      </c>
    </row>
    <row r="44" spans="2:20" x14ac:dyDescent="0.25">
      <c r="B44" s="123"/>
      <c r="C44" s="124" t="s">
        <v>59</v>
      </c>
      <c r="D44" s="79" t="s">
        <v>57</v>
      </c>
      <c r="E44" s="80">
        <f>2*24903+2*(4204843.44*0.75)</f>
        <v>6357071.1600000001</v>
      </c>
      <c r="F44" s="81">
        <f>24903+(4204843.44*0.75)</f>
        <v>3178535.58</v>
      </c>
      <c r="G44" s="81">
        <f>2*24903+2*(4204843.44*0.75)</f>
        <v>6357071.1600000001</v>
      </c>
      <c r="H44" s="81">
        <f>24903+(4204843.44*0.75)</f>
        <v>3178535.58</v>
      </c>
      <c r="I44" s="81">
        <f>2*24903+2*(4204843.44*0.75)</f>
        <v>6357071.1600000001</v>
      </c>
      <c r="J44" s="81">
        <f>24903+(4204843.44*0.75)</f>
        <v>3178535.58</v>
      </c>
      <c r="K44" s="81">
        <f>2*24903+2*(4204843.44*0.75)</f>
        <v>6357071.1600000001</v>
      </c>
      <c r="L44" s="82">
        <f>24903+(4204843.44*0.75)</f>
        <v>3178535.58</v>
      </c>
      <c r="M44" s="80">
        <f>2*378.96*15+2*(4204843.44*0.75)</f>
        <v>6318633.96</v>
      </c>
      <c r="N44" s="81">
        <f>378.96*15+(4204843.44*0.75)</f>
        <v>3159316.98</v>
      </c>
      <c r="O44" s="81">
        <f>2*378.96*150+2*(4204843.44*0.75)</f>
        <v>6420953.1600000001</v>
      </c>
      <c r="P44" s="81">
        <f>378.96*150+(4204843.44*0.75)</f>
        <v>3210476.58</v>
      </c>
      <c r="Q44" s="81">
        <f>2*378.96*250+2*(4204843.44*0.75)</f>
        <v>6496745.1600000001</v>
      </c>
      <c r="R44" s="81">
        <f>378.96*250+(4204843.44*0.75)</f>
        <v>3248372.58</v>
      </c>
      <c r="S44" s="81">
        <f>2*378.96*670+2*(4204843.44*0.75)</f>
        <v>6815071.5600000005</v>
      </c>
      <c r="T44" s="82">
        <f>378.96*670+(4204843.44*0.75)</f>
        <v>3407535.7800000003</v>
      </c>
    </row>
    <row r="45" spans="2:20" x14ac:dyDescent="0.25">
      <c r="B45" s="123"/>
      <c r="C45" s="124"/>
      <c r="D45" s="79" t="s">
        <v>58</v>
      </c>
      <c r="E45" s="80">
        <f>2*24903+2*(1049755.94*0.75)</f>
        <v>1624439.91</v>
      </c>
      <c r="F45" s="81">
        <f>24903+(1049755.94*0.75)</f>
        <v>812219.95499999996</v>
      </c>
      <c r="G45" s="81">
        <f>2*24903+2*(1049755.94*0.75)</f>
        <v>1624439.91</v>
      </c>
      <c r="H45" s="81">
        <f>24903+(1049755.94*0.75)</f>
        <v>812219.95499999996</v>
      </c>
      <c r="I45" s="81">
        <f>2*24903+2*(1049755.94*0.75)</f>
        <v>1624439.91</v>
      </c>
      <c r="J45" s="81">
        <f>24903+(1049755.94*0.75)</f>
        <v>812219.95499999996</v>
      </c>
      <c r="K45" s="81">
        <f>2*24903+2*(1049755.94*0.75)</f>
        <v>1624439.91</v>
      </c>
      <c r="L45" s="82">
        <f>24903+(1049755.94*0.75)</f>
        <v>812219.95499999996</v>
      </c>
      <c r="M45" s="80">
        <f>2*378.96*15+2*(1049755.94*0.75)</f>
        <v>1586002.71</v>
      </c>
      <c r="N45" s="81">
        <f>378.96*15+(1049755.94*0.75)</f>
        <v>793001.35499999998</v>
      </c>
      <c r="O45" s="81">
        <f>2*378.96*150+2*(1049755.94*0.75)</f>
        <v>1688321.91</v>
      </c>
      <c r="P45" s="81">
        <f>378.96*150+(1049755.94*0.75)</f>
        <v>844160.95499999996</v>
      </c>
      <c r="Q45" s="81">
        <f>2*378.96*250+2*(1049755.94*0.75)</f>
        <v>1764113.91</v>
      </c>
      <c r="R45" s="81">
        <f>378.96*250+(1049755.94*0.75)</f>
        <v>882056.95499999996</v>
      </c>
      <c r="S45" s="81">
        <f>2*378.96*670+2*(1049755.94*0.75)</f>
        <v>2082440.3099999998</v>
      </c>
      <c r="T45" s="82">
        <f>378.96*670+(1049755.94*0.75)</f>
        <v>1041220.1549999999</v>
      </c>
    </row>
    <row r="46" spans="2:20" x14ac:dyDescent="0.25">
      <c r="B46" s="123">
        <v>1000</v>
      </c>
      <c r="C46" s="124" t="s">
        <v>56</v>
      </c>
      <c r="D46" s="79" t="s">
        <v>57</v>
      </c>
      <c r="E46" s="80">
        <f>2*24903.96+2*(4204843.44*1)+5352.11*15</f>
        <v>8539776.4500000011</v>
      </c>
      <c r="F46" s="81">
        <f>24903.96+(4204843.44*1)+5352.11*15</f>
        <v>4310029.0500000007</v>
      </c>
      <c r="G46" s="81">
        <f>2*24903.96+2*(4204843.44*1)+5352.11*150</f>
        <v>9262311.3000000007</v>
      </c>
      <c r="H46" s="81">
        <f>24903.96+(4204843.44*1)+5352.11*150</f>
        <v>5032563.9000000004</v>
      </c>
      <c r="I46" s="81">
        <f>2*24903.96+2*(4204843.44*1)+5352.11*250</f>
        <v>9797522.3000000007</v>
      </c>
      <c r="J46" s="81">
        <f>24903.96+(4204843.44*1)+5352.11*250</f>
        <v>5567774.9000000004</v>
      </c>
      <c r="K46" s="81">
        <f>2*24903.96+2*(4204843.44*1)+5352.11*670</f>
        <v>12045408.5</v>
      </c>
      <c r="L46" s="82">
        <f>24903.96+(4204843.44*1)+5352.11*670</f>
        <v>7815661.0999999996</v>
      </c>
      <c r="M46" s="80">
        <f>2*378.96*15+2*(4204843.44*1)+5352.11*15</f>
        <v>8501337.3300000019</v>
      </c>
      <c r="N46" s="81">
        <f>378.96*15+(4204843.44*1)+5352.11*15</f>
        <v>4290809.4900000012</v>
      </c>
      <c r="O46" s="81">
        <f>2*378.96*150+2*(4204843.44*1)+5352.11*150</f>
        <v>9326191.3800000008</v>
      </c>
      <c r="P46" s="81">
        <f>378.96*150+(4204843.44*1)+5352.11*150</f>
        <v>5064503.9400000004</v>
      </c>
      <c r="Q46" s="81">
        <f>2*378.96*250+2*(4204843.44*1)+5352.11*250</f>
        <v>9937194.3800000008</v>
      </c>
      <c r="R46" s="81">
        <f>378.96*250+(4204843.44*1)+5352.11*250</f>
        <v>5637610.9400000004</v>
      </c>
      <c r="S46" s="81">
        <f>2*378.96*670+2*(4204843.44*1)+5352.11*670</f>
        <v>12503406.98</v>
      </c>
      <c r="T46" s="82">
        <f>378.96*670+(4204843.44*1)+5352.11*670</f>
        <v>8044660.3399999999</v>
      </c>
    </row>
    <row r="47" spans="2:20" x14ac:dyDescent="0.25">
      <c r="B47" s="123"/>
      <c r="C47" s="124"/>
      <c r="D47" s="79" t="s">
        <v>58</v>
      </c>
      <c r="E47" s="80">
        <f>2*24903.96+2*(1049755.94*1)+5352.11*15</f>
        <v>2229601.4499999997</v>
      </c>
      <c r="F47" s="81">
        <f>24903.96+(1049755.94*1)+5352.11*15</f>
        <v>1154941.5499999998</v>
      </c>
      <c r="G47" s="81">
        <f>2*24903.96+2*(1049755.94*1)+5352.11*150</f>
        <v>2952136.3</v>
      </c>
      <c r="H47" s="81">
        <f>24903.96+(1049755.94*1)+5352.11*150</f>
        <v>1877476.4</v>
      </c>
      <c r="I47" s="81">
        <f>2*24903.96+2*(1049755.94*1)+5352.11*250</f>
        <v>3487347.3</v>
      </c>
      <c r="J47" s="81">
        <f>24903.96+(1049755.94*1)+5352.11*250</f>
        <v>2412687.4</v>
      </c>
      <c r="K47" s="81">
        <f>2*24903.96+2*(1049755.94*1)+5352.11*670</f>
        <v>5735233.5</v>
      </c>
      <c r="L47" s="82">
        <f>24903.96+(1049755.94*1)+5352.11*670</f>
        <v>4660573.5999999996</v>
      </c>
      <c r="M47" s="80">
        <f>2*378.96*15+2*(1049755.94*1)+5352.11*15</f>
        <v>2191162.3299999996</v>
      </c>
      <c r="N47" s="81">
        <f>378.96*15+(1049755.94*1)+5352.11*15</f>
        <v>1135721.9899999998</v>
      </c>
      <c r="O47" s="81">
        <f>2*378.96*150+2*(1049755.94*1)+5352.11*150</f>
        <v>3016016.38</v>
      </c>
      <c r="P47" s="81">
        <f>378.96*150+(1049755.94*1)+5352.11*150</f>
        <v>1909416.44</v>
      </c>
      <c r="Q47" s="81">
        <f>2*378.96*250+2*(1049755.94*1)+5352.11*250</f>
        <v>3627019.38</v>
      </c>
      <c r="R47" s="81">
        <f>378.96*250+(1049755.94*1)+5352.11*250</f>
        <v>2482523.44</v>
      </c>
      <c r="S47" s="81">
        <f>2*378.96*670+2*(1049755.94*1)+5352.11*670</f>
        <v>6193231.9799999995</v>
      </c>
      <c r="T47" s="82">
        <f>378.96*670+(1049755.94*1)+5352.11*670</f>
        <v>4889572.84</v>
      </c>
    </row>
    <row r="48" spans="2:20" x14ac:dyDescent="0.25">
      <c r="B48" s="123"/>
      <c r="C48" s="124" t="s">
        <v>59</v>
      </c>
      <c r="D48" s="79" t="s">
        <v>57</v>
      </c>
      <c r="E48" s="80">
        <f>2*24903+2*(4204843.44*1)</f>
        <v>8459492.8800000008</v>
      </c>
      <c r="F48" s="81">
        <f>24903+(4204843.44*1)</f>
        <v>4229746.4400000004</v>
      </c>
      <c r="G48" s="81">
        <f>2*24903+2*(4204843.44*1)</f>
        <v>8459492.8800000008</v>
      </c>
      <c r="H48" s="81">
        <f>24903+(4204843.44*1)</f>
        <v>4229746.4400000004</v>
      </c>
      <c r="I48" s="81">
        <f>2*24903+2*(4204843.44*1)</f>
        <v>8459492.8800000008</v>
      </c>
      <c r="J48" s="81">
        <f>24903+(4204843.44*1)</f>
        <v>4229746.4400000004</v>
      </c>
      <c r="K48" s="81">
        <f>2*24903+2*(4204843.44*1)</f>
        <v>8459492.8800000008</v>
      </c>
      <c r="L48" s="82">
        <f>24903+(4204843.44*1)</f>
        <v>4229746.4400000004</v>
      </c>
      <c r="M48" s="80">
        <f>2*378.96*15+2*(4204843.44*1)</f>
        <v>8421055.6800000016</v>
      </c>
      <c r="N48" s="81">
        <f>378.96*15+(4204843.44*1)</f>
        <v>4210527.8400000008</v>
      </c>
      <c r="O48" s="81">
        <f>2*378.96*150+2*(4204843.44*1)</f>
        <v>8523374.8800000008</v>
      </c>
      <c r="P48" s="81">
        <f>378.96*150+(4204843.44*1)</f>
        <v>4261687.4400000004</v>
      </c>
      <c r="Q48" s="81">
        <f>2*378.96*250+2*(4204843.44*1)</f>
        <v>8599166.8800000008</v>
      </c>
      <c r="R48" s="81">
        <f>378.96*250+(4204843.44*1)</f>
        <v>4299583.4400000004</v>
      </c>
      <c r="S48" s="81">
        <f>2*378.96*670+2*(4204843.44*1)</f>
        <v>8917493.2800000012</v>
      </c>
      <c r="T48" s="82">
        <f>378.96*670+(4204843.44*1)</f>
        <v>4458746.6400000006</v>
      </c>
    </row>
    <row r="49" spans="2:20" x14ac:dyDescent="0.25">
      <c r="B49" s="123"/>
      <c r="C49" s="124"/>
      <c r="D49" s="79" t="s">
        <v>58</v>
      </c>
      <c r="E49" s="80">
        <f>2*24903+2*(1049755.94*1)</f>
        <v>2149317.88</v>
      </c>
      <c r="F49" s="81">
        <f>24903+(1049755.94*1)</f>
        <v>1074658.94</v>
      </c>
      <c r="G49" s="81">
        <f>2*24903+2*(1049755.94*1)</f>
        <v>2149317.88</v>
      </c>
      <c r="H49" s="81">
        <f>24903+(1049755.94*1)</f>
        <v>1074658.94</v>
      </c>
      <c r="I49" s="81">
        <f>2*24903+2*(1049755.94*1)</f>
        <v>2149317.88</v>
      </c>
      <c r="J49" s="81">
        <f>24903+(1049755.94*1)</f>
        <v>1074658.94</v>
      </c>
      <c r="K49" s="81">
        <f>2*24903+2*(1049755.94*1)</f>
        <v>2149317.88</v>
      </c>
      <c r="L49" s="82">
        <f>24903+(1049755.94*1)</f>
        <v>1074658.94</v>
      </c>
      <c r="M49" s="80">
        <f>2*378.96*15+2*(1049755.94*1)</f>
        <v>2110880.6799999997</v>
      </c>
      <c r="N49" s="81">
        <f>378.96*15+(1049755.94*1)</f>
        <v>1055440.3399999999</v>
      </c>
      <c r="O49" s="81">
        <f>2*378.96*150+2*(1049755.94*1)</f>
        <v>2213199.88</v>
      </c>
      <c r="P49" s="81">
        <f>378.96*150+(1049755.94*1)</f>
        <v>1106599.94</v>
      </c>
      <c r="Q49" s="81">
        <f>2*378.96*250+2*(1049755.94*1)</f>
        <v>2288991.88</v>
      </c>
      <c r="R49" s="81">
        <f>378.96*250+(1049755.94*1)</f>
        <v>1144495.94</v>
      </c>
      <c r="S49" s="81">
        <f>2*378.96*670+2*(1049755.94*1)</f>
        <v>2607318.2799999998</v>
      </c>
      <c r="T49" s="82">
        <f>378.96*670+(1049755.94*1)</f>
        <v>1303659.1399999999</v>
      </c>
    </row>
    <row r="50" spans="2:20" x14ac:dyDescent="0.25">
      <c r="B50" s="123">
        <v>1250</v>
      </c>
      <c r="C50" s="124" t="s">
        <v>56</v>
      </c>
      <c r="D50" s="79" t="s">
        <v>57</v>
      </c>
      <c r="E50" s="80">
        <f>2*24903.96+2*(4204843.44*1.25)+5352.11*15</f>
        <v>10642198.170000002</v>
      </c>
      <c r="F50" s="81">
        <f>24903.96+(4204843.44*1.25)+5352.11*15</f>
        <v>5361239.9100000011</v>
      </c>
      <c r="G50" s="81">
        <f>2*24903.96+2*(4204843.44*1.25)+5352.11*150</f>
        <v>11364733.020000001</v>
      </c>
      <c r="H50" s="81">
        <f>24903.96+(4204843.44*1.25)+5352.11*150</f>
        <v>6083774.7600000007</v>
      </c>
      <c r="I50" s="81">
        <f>2*24903.96+2*(4204843.44*1.25)+5352.11*250</f>
        <v>11899944.020000001</v>
      </c>
      <c r="J50" s="81">
        <f>24903.96+(4204843.44*1.25)+5352.11*250</f>
        <v>6618985.7600000007</v>
      </c>
      <c r="K50" s="81">
        <f>2*24903.96+2*(4204843.44*1.25)+5352.11*670</f>
        <v>14147830.220000001</v>
      </c>
      <c r="L50" s="82">
        <f>24903.96+(4204843.44*1.25)+5352.11*670</f>
        <v>8866871.9600000009</v>
      </c>
      <c r="M50" s="80">
        <f>2*378.96*15+2*(4204843.44*1.25)+5352.11*15</f>
        <v>10603759.050000003</v>
      </c>
      <c r="N50" s="81">
        <f>378.96*15+(4204843.44*1.25)+5352.11*15</f>
        <v>5342020.3500000015</v>
      </c>
      <c r="O50" s="81">
        <f>2*378.96*150+2*(4204843.44*1.25)+5352.11*150</f>
        <v>11428613.100000001</v>
      </c>
      <c r="P50" s="81">
        <f>378.96*150+(4204843.44*1.25)+5352.11*150</f>
        <v>6115714.8000000007</v>
      </c>
      <c r="Q50" s="81">
        <f>2*378.96*250+2*(4204843.44*1.25)+5352.11*250</f>
        <v>12039616.100000001</v>
      </c>
      <c r="R50" s="81">
        <f>378.96*250+(4204843.44*1.25)+5352.11*250</f>
        <v>6688821.8000000007</v>
      </c>
      <c r="S50" s="81">
        <f>2*378.96*670+2*(4204843.44*1.25)+5352.11*670</f>
        <v>14605828.700000001</v>
      </c>
      <c r="T50" s="82">
        <f>378.96*670+(4204843.44*1.25)+5352.11*670</f>
        <v>9095871.2000000011</v>
      </c>
    </row>
    <row r="51" spans="2:20" x14ac:dyDescent="0.25">
      <c r="B51" s="123"/>
      <c r="C51" s="124"/>
      <c r="D51" s="79" t="s">
        <v>58</v>
      </c>
      <c r="E51" s="80">
        <f>2*24903.96+2*(1049755.94*1.25)+5352.11*15</f>
        <v>2754479.4199999995</v>
      </c>
      <c r="F51" s="81">
        <f>24903.96+(1049755.94*1.25)+5352.11*15</f>
        <v>1417380.5349999997</v>
      </c>
      <c r="G51" s="81">
        <f>2*24903.96+2*(1049755.94*1.25)+5352.11*150</f>
        <v>3477014.2699999996</v>
      </c>
      <c r="H51" s="81">
        <f>24903.96+(1049755.94*1.25)+5352.11*150</f>
        <v>2139915.3849999998</v>
      </c>
      <c r="I51" s="81">
        <f>2*24903.96+2*(1049755.94*1.25)+5352.11*250</f>
        <v>4012225.2699999996</v>
      </c>
      <c r="J51" s="81">
        <f>24903.96+(1049755.94*1.25)+5352.11*250</f>
        <v>2675126.3849999998</v>
      </c>
      <c r="K51" s="81">
        <f>2*24903.96+2*(1049755.94*1.25)+5352.11*670</f>
        <v>6260111.4699999988</v>
      </c>
      <c r="L51" s="82">
        <f>24903.96+(1049755.94*1.25)+5352.11*670</f>
        <v>4923012.584999999</v>
      </c>
      <c r="M51" s="80">
        <f>2*378.96*15+2*(1049755.94*1.25)+5352.11*15</f>
        <v>2716040.2999999993</v>
      </c>
      <c r="N51" s="81">
        <f>378.96*15+(1049755.94*1.25)+5352.11*15</f>
        <v>1398160.9749999996</v>
      </c>
      <c r="O51" s="81">
        <f>2*378.96*150+2*(1049755.94*1.25)+5352.11*150</f>
        <v>3540894.3499999996</v>
      </c>
      <c r="P51" s="81">
        <f>378.96*150+(1049755.94*1.25)+5352.11*150</f>
        <v>2171855.4249999998</v>
      </c>
      <c r="Q51" s="81">
        <f>2*378.96*250+2*(1049755.94*1.25)+5352.11*250</f>
        <v>4151897.3499999996</v>
      </c>
      <c r="R51" s="81">
        <f>378.96*250+(1049755.94*1.25)+5352.11*250</f>
        <v>2744962.4249999998</v>
      </c>
      <c r="S51" s="81">
        <f>2*378.96*670+2*(1049755.94*1.25)+5352.11*670</f>
        <v>6718109.9499999993</v>
      </c>
      <c r="T51" s="82">
        <f>378.96*670+(1049755.94*1.25)+5352.11*670</f>
        <v>5152011.8249999993</v>
      </c>
    </row>
    <row r="52" spans="2:20" x14ac:dyDescent="0.25">
      <c r="B52" s="123"/>
      <c r="C52" s="124" t="s">
        <v>59</v>
      </c>
      <c r="D52" s="79" t="s">
        <v>57</v>
      </c>
      <c r="E52" s="80">
        <f>2*24903+2*(4204843.44*1.25)</f>
        <v>10561914.600000001</v>
      </c>
      <c r="F52" s="81">
        <f>24903+(4204843.44*1.25)</f>
        <v>5280957.3000000007</v>
      </c>
      <c r="G52" s="81">
        <f>2*24903+2*(4204843.44*1.25)</f>
        <v>10561914.600000001</v>
      </c>
      <c r="H52" s="81">
        <f>24903+(4204843.44*1.25)</f>
        <v>5280957.3000000007</v>
      </c>
      <c r="I52" s="81">
        <f>2*24903+2*(4204843.44*1.25)</f>
        <v>10561914.600000001</v>
      </c>
      <c r="J52" s="81">
        <f>24903+(4204843.44*1.25)</f>
        <v>5280957.3000000007</v>
      </c>
      <c r="K52" s="81">
        <f>2*24903+2*(4204843.44*1.25)</f>
        <v>10561914.600000001</v>
      </c>
      <c r="L52" s="82">
        <f>24903+(4204843.44*1.25)</f>
        <v>5280957.3000000007</v>
      </c>
      <c r="M52" s="80">
        <f>2*378.96*15+2*(4204843.44*1.25)</f>
        <v>10523477.400000002</v>
      </c>
      <c r="N52" s="81">
        <f>378.96*15+(4204843.44*1.25)</f>
        <v>5261738.7000000011</v>
      </c>
      <c r="O52" s="81">
        <f>2*378.96*150+2*(4204843.44*1.25)</f>
        <v>10625796.600000001</v>
      </c>
      <c r="P52" s="81">
        <f>378.96*150+(4204843.44*1.25)</f>
        <v>5312898.3000000007</v>
      </c>
      <c r="Q52" s="81">
        <f>2*378.96*250+2*(4204843.44*1.25)</f>
        <v>10701588.600000001</v>
      </c>
      <c r="R52" s="81">
        <f>378.96*250+(4204843.44*1.25)</f>
        <v>5350794.3000000007</v>
      </c>
      <c r="S52" s="81">
        <f>2*378.96*670+2*(4204843.44*1.25)</f>
        <v>11019915.000000002</v>
      </c>
      <c r="T52" s="82">
        <f>378.96*670+(4204843.44*1.25)</f>
        <v>5509957.5000000009</v>
      </c>
    </row>
    <row r="53" spans="2:20" ht="15.75" thickBot="1" x14ac:dyDescent="0.3">
      <c r="B53" s="125"/>
      <c r="C53" s="126"/>
      <c r="D53" s="83" t="s">
        <v>58</v>
      </c>
      <c r="E53" s="84">
        <f>2*24903+2*(1049755.94*1.25)</f>
        <v>2674195.8499999996</v>
      </c>
      <c r="F53" s="85">
        <f>24903+(1049755.94*1.25)</f>
        <v>1337097.9249999998</v>
      </c>
      <c r="G53" s="85">
        <f>2*24903+2*(1049755.94*1.25)</f>
        <v>2674195.8499999996</v>
      </c>
      <c r="H53" s="85">
        <f>24903+(1049755.94*1.25)</f>
        <v>1337097.9249999998</v>
      </c>
      <c r="I53" s="85">
        <f>2*24903+2*(1049755.94*1.25)</f>
        <v>2674195.8499999996</v>
      </c>
      <c r="J53" s="85">
        <f>24903+(1049755.94*1.25)</f>
        <v>1337097.9249999998</v>
      </c>
      <c r="K53" s="85">
        <f>2*24903+2*(1049755.94*1.25)</f>
        <v>2674195.8499999996</v>
      </c>
      <c r="L53" s="86">
        <f>24903+(1049755.94*1.25)</f>
        <v>1337097.9249999998</v>
      </c>
      <c r="M53" s="84">
        <f>2*378.96*15+2*(1049755.94*1.25)</f>
        <v>2635758.6499999994</v>
      </c>
      <c r="N53" s="85">
        <f>378.96*15+(1049755.94*1.25)</f>
        <v>1317879.3249999997</v>
      </c>
      <c r="O53" s="85">
        <f>2*378.96*150+2*(1049755.94*1.25)</f>
        <v>2738077.8499999996</v>
      </c>
      <c r="P53" s="85">
        <f>378.96*150+(1049755.94*1.25)</f>
        <v>1369038.9249999998</v>
      </c>
      <c r="Q53" s="85">
        <f>2*378.96*250+2*(1049755.94*1.25)</f>
        <v>2813869.8499999996</v>
      </c>
      <c r="R53" s="85">
        <f>378.96*250+(1049755.94*1.25)</f>
        <v>1406934.9249999998</v>
      </c>
      <c r="S53" s="85">
        <f>2*378.96*670+2*(1049755.94*1.25)</f>
        <v>3132196.2499999995</v>
      </c>
      <c r="T53" s="86">
        <f>378.96*670+(1049755.94*1.25)</f>
        <v>1566098.1249999998</v>
      </c>
    </row>
    <row r="54" spans="2:20" x14ac:dyDescent="0.25">
      <c r="B54" s="87"/>
      <c r="C54" s="87"/>
      <c r="D54" s="87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 x14ac:dyDescent="0.25">
      <c r="B55" s="23" t="s">
        <v>244</v>
      </c>
      <c r="C55" s="6"/>
      <c r="D55" s="24"/>
    </row>
  </sheetData>
  <mergeCells count="56">
    <mergeCell ref="A29:R29"/>
    <mergeCell ref="K30:L30"/>
    <mergeCell ref="B31:D31"/>
    <mergeCell ref="B30:D30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8:R28"/>
    <mergeCell ref="A3:R3"/>
    <mergeCell ref="A4:R4"/>
    <mergeCell ref="A8:R8"/>
    <mergeCell ref="R11:R12"/>
    <mergeCell ref="A5:R5"/>
    <mergeCell ref="A6:R6"/>
    <mergeCell ref="A7:R7"/>
    <mergeCell ref="B50:B53"/>
    <mergeCell ref="C50:C51"/>
    <mergeCell ref="C52:C53"/>
    <mergeCell ref="E30:F30"/>
    <mergeCell ref="G30:H30"/>
    <mergeCell ref="B42:B45"/>
    <mergeCell ref="C42:C43"/>
    <mergeCell ref="C44:C45"/>
    <mergeCell ref="B46:B49"/>
    <mergeCell ref="C46:C47"/>
    <mergeCell ref="C48:C49"/>
    <mergeCell ref="M30:N30"/>
    <mergeCell ref="O30:P30"/>
    <mergeCell ref="Q30:R30"/>
    <mergeCell ref="S30:T30"/>
    <mergeCell ref="B33:D33"/>
    <mergeCell ref="E33:L33"/>
    <mergeCell ref="M33:T33"/>
    <mergeCell ref="I30:J30"/>
    <mergeCell ref="B34:B37"/>
    <mergeCell ref="C34:C35"/>
    <mergeCell ref="F34:F35"/>
    <mergeCell ref="N34:N35"/>
    <mergeCell ref="C36:C37"/>
    <mergeCell ref="F36:F37"/>
    <mergeCell ref="N36:N37"/>
    <mergeCell ref="B38:B41"/>
    <mergeCell ref="C38:C39"/>
    <mergeCell ref="F38:F39"/>
    <mergeCell ref="N38:N39"/>
    <mergeCell ref="C40:C41"/>
    <mergeCell ref="F40:F41"/>
    <mergeCell ref="N40:N41"/>
  </mergeCells>
  <pageMargins left="0.7" right="0.7" top="0.75" bottom="0.75" header="0.3" footer="0.3"/>
  <pageSetup paperSize="9" scale="32" orientation="landscape" horizontalDpi="180" verticalDpi="180" r:id="rId1"/>
  <ignoredErrors>
    <ignoredError sqref="J36:J53 F44:H53 K36:K53 I44:I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view="pageBreakPreview" zoomScale="85" zoomScaleSheetLayoutView="85" workbookViewId="0">
      <selection activeCell="F10" sqref="F10"/>
    </sheetView>
  </sheetViews>
  <sheetFormatPr defaultColWidth="12.28515625" defaultRowHeight="15" x14ac:dyDescent="0.25"/>
  <cols>
    <col min="1" max="1" width="5.85546875" style="5" customWidth="1"/>
    <col min="2" max="2" width="27" style="4" customWidth="1"/>
    <col min="3" max="3" width="17.28515625" style="4" customWidth="1"/>
    <col min="4" max="4" width="13.5703125" style="4" customWidth="1"/>
    <col min="5" max="5" width="12.28515625" style="4"/>
    <col min="6" max="6" width="9.42578125" style="4" customWidth="1"/>
    <col min="7" max="7" width="17" style="4" customWidth="1"/>
    <col min="8" max="8" width="13.5703125" style="4" customWidth="1"/>
    <col min="9" max="9" width="10" style="4" customWidth="1"/>
    <col min="10" max="10" width="12.140625" style="4" customWidth="1"/>
    <col min="11" max="11" width="14.140625" style="4" customWidth="1"/>
    <col min="12" max="12" width="9.140625" style="4" customWidth="1"/>
    <col min="13" max="13" width="9.5703125" style="4" customWidth="1"/>
    <col min="14" max="14" width="10.7109375" style="4" customWidth="1"/>
    <col min="15" max="16384" width="12.28515625" style="4"/>
  </cols>
  <sheetData>
    <row r="1" spans="1:17" ht="15.75" x14ac:dyDescent="0.25">
      <c r="A1" s="142" t="s">
        <v>236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3" spans="1:17" s="13" customFormat="1" ht="51" customHeight="1" x14ac:dyDescent="0.25">
      <c r="A3" s="129" t="s">
        <v>128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14" customFormat="1" ht="12.75" x14ac:dyDescent="0.25">
      <c r="A4" s="138" t="s">
        <v>130</v>
      </c>
      <c r="B4" s="143" t="s">
        <v>60</v>
      </c>
      <c r="C4" s="143" t="s">
        <v>61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s="14" customFormat="1" ht="36" customHeight="1" x14ac:dyDescent="0.25">
      <c r="A5" s="138"/>
      <c r="B5" s="143"/>
      <c r="C5" s="137" t="s">
        <v>62</v>
      </c>
      <c r="D5" s="137"/>
      <c r="E5" s="137"/>
      <c r="F5" s="137" t="s">
        <v>63</v>
      </c>
      <c r="G5" s="137"/>
      <c r="H5" s="137"/>
      <c r="I5" s="137" t="s">
        <v>64</v>
      </c>
      <c r="J5" s="137"/>
      <c r="K5" s="137"/>
      <c r="L5" s="137" t="s">
        <v>65</v>
      </c>
      <c r="M5" s="137"/>
      <c r="N5" s="137"/>
      <c r="O5" s="137" t="s">
        <v>66</v>
      </c>
      <c r="P5" s="137"/>
      <c r="Q5" s="137"/>
    </row>
    <row r="6" spans="1:17" s="14" customFormat="1" ht="51.75" customHeight="1" x14ac:dyDescent="0.25">
      <c r="A6" s="138"/>
      <c r="B6" s="143"/>
      <c r="C6" s="12" t="s">
        <v>3</v>
      </c>
      <c r="D6" s="12" t="s">
        <v>129</v>
      </c>
      <c r="E6" s="12" t="s">
        <v>5</v>
      </c>
      <c r="F6" s="12" t="s">
        <v>3</v>
      </c>
      <c r="G6" s="12" t="s">
        <v>129</v>
      </c>
      <c r="H6" s="12" t="s">
        <v>5</v>
      </c>
      <c r="I6" s="12" t="s">
        <v>3</v>
      </c>
      <c r="J6" s="12" t="s">
        <v>129</v>
      </c>
      <c r="K6" s="12" t="s">
        <v>5</v>
      </c>
      <c r="L6" s="12" t="s">
        <v>3</v>
      </c>
      <c r="M6" s="12" t="s">
        <v>129</v>
      </c>
      <c r="N6" s="12" t="s">
        <v>5</v>
      </c>
      <c r="O6" s="12" t="s">
        <v>3</v>
      </c>
      <c r="P6" s="12" t="s">
        <v>129</v>
      </c>
      <c r="Q6" s="12" t="s">
        <v>5</v>
      </c>
    </row>
    <row r="7" spans="1:17" s="14" customFormat="1" ht="15.75" customHeight="1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s="92" customFormat="1" ht="16.5" customHeight="1" x14ac:dyDescent="0.25">
      <c r="A8" s="89">
        <v>1</v>
      </c>
      <c r="B8" s="90" t="s">
        <v>259</v>
      </c>
      <c r="C8" s="91">
        <v>0</v>
      </c>
      <c r="D8" s="91">
        <f>SUM(D9:D14)</f>
        <v>1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1</v>
      </c>
      <c r="M8" s="91">
        <v>0</v>
      </c>
      <c r="N8" s="91">
        <v>-100</v>
      </c>
      <c r="O8" s="91">
        <v>0</v>
      </c>
      <c r="P8" s="91">
        <v>0</v>
      </c>
      <c r="Q8" s="91">
        <v>0</v>
      </c>
    </row>
    <row r="9" spans="1:17" s="13" customFormat="1" ht="25.5" x14ac:dyDescent="0.25">
      <c r="A9" s="15" t="s">
        <v>131</v>
      </c>
      <c r="B9" s="16" t="s">
        <v>67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</v>
      </c>
      <c r="M9" s="12">
        <v>0</v>
      </c>
      <c r="N9" s="12">
        <v>0</v>
      </c>
      <c r="O9" s="26">
        <v>0</v>
      </c>
      <c r="P9" s="26">
        <v>0</v>
      </c>
      <c r="Q9" s="26">
        <v>0</v>
      </c>
    </row>
    <row r="10" spans="1:17" s="13" customFormat="1" ht="38.25" x14ac:dyDescent="0.25">
      <c r="A10" s="15" t="s">
        <v>132</v>
      </c>
      <c r="B10" s="16" t="s">
        <v>68</v>
      </c>
      <c r="C10" s="26">
        <v>0</v>
      </c>
      <c r="D10" s="62"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12">
        <v>0</v>
      </c>
      <c r="N10" s="26">
        <v>0</v>
      </c>
      <c r="O10" s="26">
        <v>0</v>
      </c>
      <c r="P10" s="26">
        <v>0</v>
      </c>
      <c r="Q10" s="26">
        <v>0</v>
      </c>
    </row>
    <row r="11" spans="1:17" s="13" customFormat="1" ht="25.5" x14ac:dyDescent="0.25">
      <c r="A11" s="15" t="s">
        <v>133</v>
      </c>
      <c r="B11" s="16" t="s">
        <v>69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17" s="13" customFormat="1" ht="12.75" x14ac:dyDescent="0.25">
      <c r="A12" s="15" t="s">
        <v>134</v>
      </c>
      <c r="B12" s="16" t="s">
        <v>70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s="13" customFormat="1" ht="25.5" x14ac:dyDescent="0.25">
      <c r="A13" s="15" t="s">
        <v>135</v>
      </c>
      <c r="B13" s="16" t="s">
        <v>71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</row>
    <row r="14" spans="1:17" s="13" customFormat="1" ht="12.75" x14ac:dyDescent="0.25">
      <c r="A14" s="15" t="s">
        <v>136</v>
      </c>
      <c r="B14" s="16" t="s">
        <v>72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</row>
    <row r="15" spans="1:17" s="94" customFormat="1" ht="19.5" customHeight="1" x14ac:dyDescent="0.25">
      <c r="A15" s="89" t="s">
        <v>137</v>
      </c>
      <c r="B15" s="93" t="s">
        <v>260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</row>
    <row r="16" spans="1:17" s="13" customFormat="1" ht="38.25" x14ac:dyDescent="0.25">
      <c r="A16" s="15" t="s">
        <v>138</v>
      </c>
      <c r="B16" s="16" t="s">
        <v>73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s="13" customFormat="1" ht="25.5" x14ac:dyDescent="0.25">
      <c r="A17" s="15" t="s">
        <v>139</v>
      </c>
      <c r="B17" s="16" t="s">
        <v>74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s="13" customFormat="1" ht="25.5" x14ac:dyDescent="0.25">
      <c r="A18" s="15" t="s">
        <v>140</v>
      </c>
      <c r="B18" s="16" t="s">
        <v>75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s="13" customFormat="1" ht="38.25" x14ac:dyDescent="0.25">
      <c r="A19" s="15" t="s">
        <v>141</v>
      </c>
      <c r="B19" s="16" t="s">
        <v>68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  <row r="20" spans="1:17" s="13" customFormat="1" ht="25.5" x14ac:dyDescent="0.25">
      <c r="A20" s="15" t="s">
        <v>142</v>
      </c>
      <c r="B20" s="16" t="s">
        <v>69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1:17" s="13" customFormat="1" ht="12.75" x14ac:dyDescent="0.25">
      <c r="A21" s="15" t="s">
        <v>143</v>
      </c>
      <c r="B21" s="16" t="s">
        <v>70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</row>
    <row r="22" spans="1:17" s="13" customFormat="1" ht="38.25" x14ac:dyDescent="0.25">
      <c r="A22" s="15" t="s">
        <v>144</v>
      </c>
      <c r="B22" s="16" t="s">
        <v>76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s="13" customFormat="1" ht="12.75" x14ac:dyDescent="0.25">
      <c r="A23" s="15" t="s">
        <v>145</v>
      </c>
      <c r="B23" s="16" t="s">
        <v>72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1:17" s="94" customFormat="1" ht="17.25" customHeight="1" x14ac:dyDescent="0.25">
      <c r="A24" s="89" t="s">
        <v>147</v>
      </c>
      <c r="B24" s="93" t="s">
        <v>146</v>
      </c>
      <c r="C24" s="91">
        <v>0</v>
      </c>
      <c r="D24" s="91">
        <f>SUM(D25:D28)</f>
        <v>10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1:17" s="13" customFormat="1" ht="25.5" x14ac:dyDescent="0.25">
      <c r="A25" s="15" t="s">
        <v>148</v>
      </c>
      <c r="B25" s="16" t="s">
        <v>26</v>
      </c>
      <c r="C25" s="26">
        <v>7</v>
      </c>
      <c r="D25" s="26">
        <v>7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1:17" s="13" customFormat="1" ht="38.25" x14ac:dyDescent="0.25">
      <c r="A26" s="15" t="s">
        <v>149</v>
      </c>
      <c r="B26" s="16" t="s">
        <v>77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1:17" s="13" customFormat="1" ht="25.5" x14ac:dyDescent="0.25">
      <c r="A27" s="15" t="s">
        <v>150</v>
      </c>
      <c r="B27" s="16" t="s">
        <v>78</v>
      </c>
      <c r="C27" s="26">
        <v>0</v>
      </c>
      <c r="D27" s="26">
        <v>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</row>
    <row r="28" spans="1:17" s="13" customFormat="1" ht="12.75" x14ac:dyDescent="0.25">
      <c r="A28" s="15" t="s">
        <v>151</v>
      </c>
      <c r="B28" s="16" t="s">
        <v>72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</row>
    <row r="29" spans="1:17" s="13" customFormat="1" ht="12.75" x14ac:dyDescent="0.25">
      <c r="A29" s="17"/>
    </row>
    <row r="30" spans="1:17" s="13" customFormat="1" ht="12.75" x14ac:dyDescent="0.25">
      <c r="A30" s="129" t="s">
        <v>79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s="14" customFormat="1" ht="159" customHeight="1" x14ac:dyDescent="0.25">
      <c r="A31" s="15" t="s">
        <v>130</v>
      </c>
      <c r="B31" s="12" t="s">
        <v>80</v>
      </c>
      <c r="C31" s="12" t="s">
        <v>81</v>
      </c>
      <c r="D31" s="12" t="s">
        <v>82</v>
      </c>
      <c r="E31" s="12" t="s">
        <v>83</v>
      </c>
      <c r="F31" s="12" t="s">
        <v>84</v>
      </c>
      <c r="G31" s="12" t="s">
        <v>85</v>
      </c>
      <c r="H31" s="12" t="s">
        <v>86</v>
      </c>
      <c r="I31" s="12" t="s">
        <v>87</v>
      </c>
      <c r="J31" s="12" t="s">
        <v>88</v>
      </c>
      <c r="K31" s="12" t="s">
        <v>89</v>
      </c>
    </row>
    <row r="32" spans="1:17" s="13" customFormat="1" ht="12.75" x14ac:dyDescent="0.25">
      <c r="A32" s="18">
        <v>1</v>
      </c>
      <c r="B32" s="12">
        <v>2</v>
      </c>
      <c r="C32" s="18">
        <v>3</v>
      </c>
      <c r="D32" s="12">
        <v>4</v>
      </c>
      <c r="E32" s="18">
        <v>5</v>
      </c>
      <c r="F32" s="12">
        <v>6</v>
      </c>
      <c r="G32" s="18">
        <v>7</v>
      </c>
      <c r="H32" s="12">
        <v>8</v>
      </c>
      <c r="I32" s="18">
        <v>9</v>
      </c>
      <c r="J32" s="12">
        <v>10</v>
      </c>
      <c r="K32" s="18">
        <v>11</v>
      </c>
    </row>
    <row r="33" spans="1:17" s="13" customFormat="1" ht="98.25" customHeight="1" x14ac:dyDescent="0.25">
      <c r="A33" s="15" t="s">
        <v>153</v>
      </c>
      <c r="B33" s="144" t="s">
        <v>155</v>
      </c>
      <c r="C33" s="16" t="s">
        <v>203</v>
      </c>
      <c r="D33" s="16" t="s">
        <v>156</v>
      </c>
      <c r="E33" s="16" t="s">
        <v>233</v>
      </c>
      <c r="F33" s="19" t="s">
        <v>202</v>
      </c>
      <c r="G33" s="144" t="s">
        <v>117</v>
      </c>
      <c r="H33" s="12" t="s">
        <v>152</v>
      </c>
      <c r="I33" s="12" t="s">
        <v>152</v>
      </c>
      <c r="J33" s="12" t="s">
        <v>152</v>
      </c>
      <c r="K33" s="12" t="s">
        <v>152</v>
      </c>
    </row>
    <row r="34" spans="1:17" s="13" customFormat="1" ht="183.75" customHeight="1" x14ac:dyDescent="0.25">
      <c r="A34" s="15" t="s">
        <v>137</v>
      </c>
      <c r="B34" s="145"/>
      <c r="C34" s="16" t="s">
        <v>204</v>
      </c>
      <c r="D34" s="146" t="s">
        <v>234</v>
      </c>
      <c r="E34" s="146"/>
      <c r="F34" s="19" t="s">
        <v>118</v>
      </c>
      <c r="G34" s="145"/>
      <c r="H34" s="12" t="s">
        <v>152</v>
      </c>
      <c r="I34" s="12" t="s">
        <v>152</v>
      </c>
      <c r="J34" s="12" t="s">
        <v>152</v>
      </c>
      <c r="K34" s="12" t="s">
        <v>152</v>
      </c>
    </row>
    <row r="35" spans="1:17" s="13" customFormat="1" ht="12.75" x14ac:dyDescent="0.25">
      <c r="A35" s="17"/>
    </row>
    <row r="36" spans="1:17" s="13" customFormat="1" ht="12.75" x14ac:dyDescent="0.25">
      <c r="A36" s="129" t="s">
        <v>157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s="13" customFormat="1" ht="12.75" x14ac:dyDescent="0.25">
      <c r="A37" s="17"/>
    </row>
    <row r="38" spans="1:17" s="13" customFormat="1" ht="12.75" x14ac:dyDescent="0.25">
      <c r="A38" s="15" t="s">
        <v>130</v>
      </c>
      <c r="B38" s="12" t="s">
        <v>90</v>
      </c>
      <c r="C38" s="16"/>
      <c r="D38" s="16"/>
    </row>
    <row r="39" spans="1:17" s="13" customFormat="1" ht="89.25" x14ac:dyDescent="0.25">
      <c r="A39" s="15" t="s">
        <v>153</v>
      </c>
      <c r="B39" s="16" t="s">
        <v>158</v>
      </c>
      <c r="C39" s="16" t="s">
        <v>91</v>
      </c>
      <c r="D39" s="12" t="s">
        <v>235</v>
      </c>
    </row>
    <row r="40" spans="1:17" s="13" customFormat="1" ht="51" x14ac:dyDescent="0.25">
      <c r="A40" s="15" t="s">
        <v>137</v>
      </c>
      <c r="B40" s="16" t="s">
        <v>159</v>
      </c>
      <c r="C40" s="16" t="s">
        <v>92</v>
      </c>
      <c r="D40" s="12" t="s">
        <v>152</v>
      </c>
    </row>
    <row r="41" spans="1:17" s="13" customFormat="1" ht="51" x14ac:dyDescent="0.25">
      <c r="A41" s="15" t="s">
        <v>138</v>
      </c>
      <c r="B41" s="16" t="s">
        <v>93</v>
      </c>
      <c r="C41" s="16" t="s">
        <v>92</v>
      </c>
      <c r="D41" s="12" t="s">
        <v>152</v>
      </c>
    </row>
    <row r="42" spans="1:17" s="13" customFormat="1" ht="63.75" x14ac:dyDescent="0.25">
      <c r="A42" s="15" t="s">
        <v>141</v>
      </c>
      <c r="B42" s="16" t="s">
        <v>94</v>
      </c>
      <c r="C42" s="16" t="s">
        <v>92</v>
      </c>
      <c r="D42" s="12" t="s">
        <v>152</v>
      </c>
    </row>
    <row r="43" spans="1:17" s="13" customFormat="1" ht="63.75" x14ac:dyDescent="0.25">
      <c r="A43" s="15" t="s">
        <v>147</v>
      </c>
      <c r="B43" s="16" t="s">
        <v>95</v>
      </c>
      <c r="C43" s="16" t="s">
        <v>160</v>
      </c>
      <c r="D43" s="12" t="s">
        <v>152</v>
      </c>
    </row>
    <row r="44" spans="1:17" s="13" customFormat="1" ht="63.75" x14ac:dyDescent="0.25">
      <c r="A44" s="15" t="s">
        <v>154</v>
      </c>
      <c r="B44" s="16" t="s">
        <v>96</v>
      </c>
      <c r="C44" s="16" t="s">
        <v>160</v>
      </c>
      <c r="D44" s="12" t="s">
        <v>152</v>
      </c>
    </row>
    <row r="45" spans="1:17" s="13" customFormat="1" ht="12.75" x14ac:dyDescent="0.25">
      <c r="A45" s="17"/>
    </row>
    <row r="46" spans="1:17" s="64" customFormat="1" ht="29.25" customHeight="1" x14ac:dyDescent="0.25">
      <c r="A46" s="127" t="s">
        <v>161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1:17" s="95" customFormat="1" ht="17.25" customHeight="1" x14ac:dyDescent="0.25">
      <c r="A47" s="127" t="s">
        <v>162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17" s="95" customFormat="1" ht="12.75" x14ac:dyDescent="0.25">
      <c r="A48" s="96"/>
    </row>
    <row r="49" spans="1:41" s="95" customFormat="1" ht="16.5" customHeight="1" x14ac:dyDescent="0.25">
      <c r="A49" s="127" t="s">
        <v>163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41" s="95" customFormat="1" ht="31.5" customHeight="1" x14ac:dyDescent="0.25">
      <c r="A50" s="127" t="s">
        <v>164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41" s="95" customFormat="1" ht="16.5" customHeight="1" x14ac:dyDescent="0.25">
      <c r="A51" s="140" t="s">
        <v>165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</row>
    <row r="52" spans="1:41" s="95" customFormat="1" ht="12.75" x14ac:dyDescent="0.25">
      <c r="A52" s="96"/>
    </row>
    <row r="53" spans="1:41" s="95" customFormat="1" ht="27" customHeight="1" x14ac:dyDescent="0.25">
      <c r="A53" s="139" t="s">
        <v>166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1:41" s="95" customFormat="1" ht="17.25" customHeight="1" x14ac:dyDescent="0.25">
      <c r="A54" s="141" t="s">
        <v>167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41" s="95" customFormat="1" ht="12.75" x14ac:dyDescent="0.25">
      <c r="A55" s="96"/>
    </row>
    <row r="56" spans="1:41" s="95" customFormat="1" ht="15.75" customHeight="1" x14ac:dyDescent="0.25">
      <c r="A56" s="139" t="s">
        <v>168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41" s="95" customFormat="1" ht="17.25" customHeight="1" x14ac:dyDescent="0.25">
      <c r="A57" s="140" t="s">
        <v>169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1:41" s="95" customFormat="1" ht="18" customHeight="1" x14ac:dyDescent="0.25">
      <c r="A58" s="140" t="s">
        <v>170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41" s="13" customFormat="1" ht="12.75" x14ac:dyDescent="0.25">
      <c r="A59" s="17"/>
    </row>
    <row r="60" spans="1:41" s="13" customFormat="1" ht="12.75" x14ac:dyDescent="0.25">
      <c r="A60" s="129" t="s">
        <v>171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41" s="14" customFormat="1" ht="39.75" customHeight="1" x14ac:dyDescent="0.25">
      <c r="A61" s="138" t="s">
        <v>130</v>
      </c>
      <c r="B61" s="137" t="s">
        <v>172</v>
      </c>
      <c r="C61" s="137" t="s">
        <v>173</v>
      </c>
      <c r="D61" s="137" t="s">
        <v>174</v>
      </c>
      <c r="E61" s="137" t="s">
        <v>175</v>
      </c>
      <c r="F61" s="137"/>
      <c r="G61" s="137"/>
      <c r="H61" s="137"/>
      <c r="I61" s="137" t="s">
        <v>180</v>
      </c>
      <c r="J61" s="137"/>
      <c r="K61" s="137"/>
      <c r="L61" s="137"/>
      <c r="M61" s="137"/>
      <c r="N61" s="137"/>
      <c r="O61" s="137" t="s">
        <v>186</v>
      </c>
      <c r="P61" s="137"/>
      <c r="Q61" s="137"/>
      <c r="R61" s="137"/>
      <c r="S61" s="137"/>
      <c r="T61" s="137"/>
      <c r="U61" s="137"/>
      <c r="V61" s="137" t="s">
        <v>190</v>
      </c>
      <c r="W61" s="137"/>
      <c r="X61" s="137"/>
      <c r="Y61" s="137"/>
      <c r="Z61" s="137" t="s">
        <v>194</v>
      </c>
      <c r="AA61" s="137"/>
      <c r="AB61" s="137"/>
      <c r="AC61" s="137" t="s">
        <v>198</v>
      </c>
      <c r="AD61" s="137"/>
    </row>
    <row r="62" spans="1:41" s="14" customFormat="1" ht="211.5" customHeight="1" x14ac:dyDescent="0.25">
      <c r="A62" s="138"/>
      <c r="B62" s="137"/>
      <c r="C62" s="137"/>
      <c r="D62" s="137"/>
      <c r="E62" s="20" t="s">
        <v>176</v>
      </c>
      <c r="F62" s="20" t="s">
        <v>177</v>
      </c>
      <c r="G62" s="20" t="s">
        <v>178</v>
      </c>
      <c r="H62" s="20" t="s">
        <v>179</v>
      </c>
      <c r="I62" s="20" t="s">
        <v>181</v>
      </c>
      <c r="J62" s="20" t="s">
        <v>182</v>
      </c>
      <c r="K62" s="20" t="s">
        <v>183</v>
      </c>
      <c r="L62" s="20" t="s">
        <v>184</v>
      </c>
      <c r="M62" s="20" t="s">
        <v>185</v>
      </c>
      <c r="N62" s="20" t="s">
        <v>66</v>
      </c>
      <c r="O62" s="20" t="s">
        <v>187</v>
      </c>
      <c r="P62" s="20" t="s">
        <v>188</v>
      </c>
      <c r="Q62" s="20" t="s">
        <v>189</v>
      </c>
      <c r="R62" s="20" t="s">
        <v>183</v>
      </c>
      <c r="S62" s="20" t="s">
        <v>184</v>
      </c>
      <c r="T62" s="20" t="s">
        <v>185</v>
      </c>
      <c r="U62" s="20" t="s">
        <v>66</v>
      </c>
      <c r="V62" s="20" t="s">
        <v>191</v>
      </c>
      <c r="W62" s="20" t="s">
        <v>192</v>
      </c>
      <c r="X62" s="20" t="s">
        <v>193</v>
      </c>
      <c r="Y62" s="20" t="s">
        <v>66</v>
      </c>
      <c r="Z62" s="20" t="s">
        <v>195</v>
      </c>
      <c r="AA62" s="20" t="s">
        <v>196</v>
      </c>
      <c r="AB62" s="20" t="s">
        <v>197</v>
      </c>
      <c r="AC62" s="20" t="s">
        <v>199</v>
      </c>
      <c r="AD62" s="20" t="s">
        <v>200</v>
      </c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s="13" customFormat="1" ht="12.75" x14ac:dyDescent="0.25">
      <c r="A63" s="18">
        <v>1</v>
      </c>
      <c r="B63" s="12">
        <v>2</v>
      </c>
      <c r="C63" s="18">
        <v>3</v>
      </c>
      <c r="D63" s="12">
        <v>4</v>
      </c>
      <c r="E63" s="18">
        <v>5</v>
      </c>
      <c r="F63" s="12">
        <v>6</v>
      </c>
      <c r="G63" s="18">
        <v>7</v>
      </c>
      <c r="H63" s="12">
        <v>8</v>
      </c>
      <c r="I63" s="18">
        <v>9</v>
      </c>
      <c r="J63" s="12">
        <v>10</v>
      </c>
      <c r="K63" s="18">
        <v>11</v>
      </c>
      <c r="L63" s="12">
        <v>12</v>
      </c>
      <c r="M63" s="18">
        <v>13</v>
      </c>
      <c r="N63" s="12">
        <v>14</v>
      </c>
      <c r="O63" s="18">
        <v>15</v>
      </c>
      <c r="P63" s="12">
        <v>16</v>
      </c>
      <c r="Q63" s="18">
        <v>17</v>
      </c>
      <c r="R63" s="12">
        <v>18</v>
      </c>
      <c r="S63" s="18">
        <v>19</v>
      </c>
      <c r="T63" s="12">
        <v>20</v>
      </c>
      <c r="U63" s="18">
        <v>21</v>
      </c>
      <c r="V63" s="12">
        <v>22</v>
      </c>
      <c r="W63" s="18">
        <v>23</v>
      </c>
      <c r="X63" s="12">
        <v>24</v>
      </c>
      <c r="Y63" s="18">
        <v>25</v>
      </c>
      <c r="Z63" s="12">
        <v>26</v>
      </c>
      <c r="AA63" s="18">
        <v>27</v>
      </c>
      <c r="AB63" s="12">
        <v>28</v>
      </c>
      <c r="AC63" s="18">
        <v>29</v>
      </c>
      <c r="AD63" s="12">
        <v>30</v>
      </c>
    </row>
    <row r="64" spans="1:41" s="13" customFormat="1" ht="25.5" x14ac:dyDescent="0.25">
      <c r="A64" s="66" t="s">
        <v>153</v>
      </c>
      <c r="B64" s="65" t="s">
        <v>261</v>
      </c>
      <c r="C64" s="66" t="s">
        <v>262</v>
      </c>
      <c r="D64" s="65" t="s">
        <v>263</v>
      </c>
      <c r="E64" s="66" t="s">
        <v>152</v>
      </c>
      <c r="F64" s="66" t="s">
        <v>152</v>
      </c>
      <c r="G64" s="66" t="s">
        <v>152</v>
      </c>
      <c r="H64" s="66" t="s">
        <v>246</v>
      </c>
      <c r="I64" s="66" t="s">
        <v>152</v>
      </c>
      <c r="J64" s="66" t="s">
        <v>152</v>
      </c>
      <c r="K64" s="66" t="s">
        <v>264</v>
      </c>
      <c r="L64" s="66" t="s">
        <v>152</v>
      </c>
      <c r="M64" s="66" t="s">
        <v>152</v>
      </c>
      <c r="N64" s="66" t="s">
        <v>246</v>
      </c>
      <c r="O64" s="66" t="s">
        <v>152</v>
      </c>
      <c r="P64" s="66" t="s">
        <v>152</v>
      </c>
      <c r="Q64" s="66" t="s">
        <v>152</v>
      </c>
      <c r="R64" s="66" t="s">
        <v>152</v>
      </c>
      <c r="S64" s="66" t="s">
        <v>152</v>
      </c>
      <c r="T64" s="66" t="s">
        <v>152</v>
      </c>
      <c r="U64" s="66" t="s">
        <v>152</v>
      </c>
      <c r="V64" s="66" t="s">
        <v>246</v>
      </c>
      <c r="W64" s="66" t="s">
        <v>152</v>
      </c>
      <c r="X64" s="66" t="s">
        <v>246</v>
      </c>
      <c r="Y64" s="66" t="s">
        <v>152</v>
      </c>
      <c r="Z64" s="66" t="s">
        <v>246</v>
      </c>
      <c r="AA64" s="66" t="s">
        <v>152</v>
      </c>
      <c r="AB64" s="66" t="s">
        <v>152</v>
      </c>
      <c r="AC64" s="66" t="s">
        <v>152</v>
      </c>
      <c r="AD64" s="66" t="s">
        <v>152</v>
      </c>
    </row>
    <row r="65" spans="1:12" s="13" customFormat="1" ht="12.75" x14ac:dyDescent="0.25">
      <c r="A65" s="17"/>
    </row>
    <row r="66" spans="1:12" s="13" customFormat="1" ht="12.75" x14ac:dyDescent="0.25">
      <c r="A66" s="136" t="s">
        <v>201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</sheetData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ageMargins left="0.7" right="0.7" top="0.75" bottom="0.75" header="0.3" footer="0.3"/>
  <pageSetup paperSize="9" scale="34" orientation="landscape" r:id="rId1"/>
  <rowBreaks count="1" manualBreakCount="1">
    <brk id="34" max="16383" man="1"/>
  </rowBreaks>
  <ignoredErrors>
    <ignoredError sqref="A15 A24 A33 A43:A44 C64" numberStoredAsText="1"/>
    <ignoredError sqref="A17:A18" twoDigitTextYear="1"/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2018-03-30T10:59:18Z</dcterms:modified>
</cp:coreProperties>
</file>