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240" tabRatio="786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инфор.'!$A$1:$N$36</definedName>
    <definedName name="_xlnm.Print_Area" localSheetId="1">'2 Показат. кач. передача'!$A$1:$T$49</definedName>
    <definedName name="_xlnm.Print_Area" localSheetId="2">'3 Показатели кач. тех. прис.'!$A$1:$T$56</definedName>
  </definedNames>
  <calcPr fullCalcOnLoad="1"/>
</workbook>
</file>

<file path=xl/sharedStrings.xml><?xml version="1.0" encoding="utf-8"?>
<sst xmlns="http://schemas.openxmlformats.org/spreadsheetml/2006/main" count="533" uniqueCount="276">
  <si>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</si>
  <si>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</si>
  <si>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</si>
  <si>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</si>
  <si>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</si>
  <si>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</si>
  <si>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</si>
  <si>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</si>
  <si>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</si>
  <si>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</si>
  <si>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</si>
  <si>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</si>
  <si>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</si>
  <si>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</si>
  <si>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</si>
  <si>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</si>
  <si>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</si>
  <si>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</si>
  <si>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</si>
  <si>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</si>
  <si>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</si>
  <si>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</si>
  <si>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</si>
  <si>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</si>
  <si>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</si>
  <si>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</si>
  <si>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</si>
  <si>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</si>
  <si>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</si>
  <si>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</si>
  <si>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</si>
  <si>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</si>
  <si>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</si>
  <si>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</si>
  <si>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</si>
  <si>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</si>
  <si>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</si>
  <si>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</si>
  <si>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</si>
  <si>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</si>
  <si>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</si>
  <si>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</si>
  <si>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</si>
  <si>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</si>
  <si>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</si>
  <si>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</si>
  <si>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</si>
  <si>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</si>
  <si>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</si>
  <si>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</si>
  <si>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</si>
  <si>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</si>
  <si>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</si>
  <si>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</si>
  <si>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</si>
  <si>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</si>
  <si>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</si>
  <si>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</si>
  <si>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</si>
  <si>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</si>
  <si>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</si>
  <si>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</si>
  <si>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</si>
  <si>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</si>
  <si>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</si>
  <si>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</si>
  <si>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</si>
  <si>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</si>
  <si>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</si>
  <si>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</si>
  <si>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</si>
  <si>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</si>
  <si>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</si>
  <si>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</si>
  <si>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</si>
  <si>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</si>
  <si>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</si>
  <si>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</si>
  <si>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</si>
  <si>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</si>
  <si>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</si>
  <si>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</si>
  <si>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</si>
  <si>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</si>
  <si>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</si>
  <si>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</si>
  <si>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</si>
  <si>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</si>
  <si>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</si>
  <si>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</si>
  <si>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</si>
  <si>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</si>
  <si>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</si>
  <si>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</si>
  <si>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</si>
  <si>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</si>
  <si>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</si>
  <si>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</si>
  <si>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</si>
  <si>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</si>
  <si>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</si>
  <si>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</si>
  <si>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</si>
  <si>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</si>
  <si>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</si>
  <si>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</si>
  <si>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</si>
  <si>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</si>
  <si>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</si>
  <si>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</si>
  <si>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</si>
  <si>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</si>
  <si>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</si>
  <si>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</si>
  <si>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</si>
  <si>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</si>
  <si>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</si>
  <si>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</si>
  <si>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</si>
  <si>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</si>
  <si>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</si>
  <si>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</si>
  <si>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</si>
  <si>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</si>
  <si>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</si>
  <si>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</si>
  <si>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</si>
  <si>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</si>
  <si>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</si>
  <si>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</si>
  <si>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</si>
  <si>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</si>
  <si>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</si>
  <si>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</si>
  <si>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</si>
  <si>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</si>
  <si>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</si>
  <si>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</si>
  <si>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</si>
  <si>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</si>
  <si>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</si>
  <si>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</si>
  <si>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</si>
  <si>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</si>
  <si>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</si>
  <si>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</si>
  <si>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</si>
  <si>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</si>
  <si>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</si>
  <si>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</si>
  <si>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</si>
  <si>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</si>
  <si>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</si>
  <si>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</si>
  <si>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</si>
  <si>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</si>
  <si>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</si>
  <si>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</si>
  <si>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</si>
  <si>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</si>
  <si>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</si>
  <si>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</si>
  <si>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</si>
  <si>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</si>
  <si>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</si>
  <si>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</si>
  <si>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</si>
  <si>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</si>
  <si>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</si>
  <si>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</si>
  <si>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</si>
  <si>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</si>
  <si>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</si>
  <si>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</si>
  <si>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</si>
  <si>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</si>
  <si>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</si>
  <si>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</si>
  <si>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</si>
  <si>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</si>
  <si>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</si>
  <si>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</si>
  <si>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</si>
  <si>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</si>
  <si>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</si>
  <si>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</si>
  <si>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</si>
  <si>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</si>
  <si>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</si>
  <si>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</si>
  <si>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</si>
  <si>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</si>
  <si>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</si>
  <si>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</si>
  <si>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</si>
  <si>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</si>
  <si>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</si>
  <si>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</si>
  <si>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</si>
  <si>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</si>
  <si>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</si>
  <si>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</si>
  <si>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</si>
  <si>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</si>
  <si>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</si>
  <si>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</si>
  <si>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</si>
  <si>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</si>
  <si>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</si>
  <si>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</si>
  <si>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</si>
  <si>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</si>
  <si>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</si>
  <si>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</si>
  <si>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</si>
  <si>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</si>
  <si>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</si>
  <si>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</si>
  <si>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</si>
  <si>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</si>
  <si>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</si>
  <si>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</si>
  <si>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</si>
  <si>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</si>
  <si>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</si>
  <si>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</si>
  <si>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</si>
  <si>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ООО "Гранат" инвестиционной программы, утвержденной РЭК Омской области.</t>
    </r>
  </si>
  <si>
    <t>http://tso-granat.ru/centr-obsluzhivaniya-klientov/okno-podachi-zayavok-na-texnologicheskoe-prisoedinenie/</t>
  </si>
  <si>
    <t>4. Качество обслуживания потребителей ООО "Гранат"</t>
  </si>
  <si>
    <t>ТП/РП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</si>
  <si>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</si>
  <si>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</si>
  <si>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</si>
  <si>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</si>
  <si>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</si>
  <si>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ООО "Гранат"</t>
  </si>
  <si>
    <t xml:space="preserve"> +</t>
  </si>
  <si>
    <t>Население и прирав.</t>
  </si>
  <si>
    <t>2. Информация о качестве услуг по передаче электрической энергии по сетям сетевой организации ООО "Гранат"</t>
  </si>
  <si>
    <t>Способ расчета</t>
  </si>
  <si>
    <t>По стандартизированной тарифной ставке</t>
  </si>
  <si>
    <t>По ставке за единицу мощности</t>
  </si>
  <si>
    <t>Обращения потребителей:</t>
  </si>
  <si>
    <t>Жалобы:</t>
  </si>
  <si>
    <t>фиксируется</t>
  </si>
  <si>
    <t>не фиксируется</t>
  </si>
  <si>
    <t xml:space="preserve">  -</t>
  </si>
  <si>
    <t>0 % рост относительно факта 2016 года</t>
  </si>
  <si>
    <t>II, III</t>
  </si>
  <si>
    <t>2018 год (факт)</t>
  </si>
  <si>
    <t xml:space="preserve"> - ИПУ в чжд</t>
  </si>
  <si>
    <t xml:space="preserve"> - ОДПУ в мжд</t>
  </si>
  <si>
    <t xml:space="preserve"> - безхоз</t>
  </si>
  <si>
    <t xml:space="preserve"> - АСКУЭ</t>
  </si>
  <si>
    <t>приравн.</t>
  </si>
  <si>
    <t>1. Стоимость услуг тех. присоединения к сетям ООО "Гранат" определяется согласно тарифным ставкам, установленными в редакции Приказа РЭК № 668/95 от 27.12.2018г.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2019 год» Расчет окончательной стоимости определяется по формулам, указанным в Приложении №4 настоящего приказа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</si>
  <si>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 Стоимость указана без учета НДС (20%)</t>
  </si>
  <si>
    <t>г. Омск, ул. 10 лет Октября, 203, стр1, каб13</t>
  </si>
  <si>
    <t>79-05-93; tsotp1@yandex.ru</t>
  </si>
  <si>
    <t>10:00 - 16:00</t>
  </si>
  <si>
    <t>79-05-93</t>
  </si>
  <si>
    <t>2018</t>
  </si>
  <si>
    <t>8 % рост относительно факта 2017 года</t>
  </si>
  <si>
    <t>5,6 % рост относительно факта 2017 года</t>
  </si>
  <si>
    <t>57%</t>
  </si>
  <si>
    <t>23%</t>
  </si>
  <si>
    <t>51%</t>
  </si>
  <si>
    <t>2019 год (прогноз)</t>
  </si>
  <si>
    <t>7</t>
  </si>
  <si>
    <t>8</t>
  </si>
  <si>
    <t>9</t>
  </si>
  <si>
    <t>10</t>
  </si>
  <si>
    <t>89%</t>
  </si>
  <si>
    <t>67%</t>
  </si>
  <si>
    <t>33%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</si>
</sst>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42" fillId="0" borderId="0" xfId="0" applyFon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textRotation="180" wrapText="1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/>
    </xf>
    <xf numFmtId="49" fontId="42" fillId="0" borderId="12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49" fontId="42" fillId="0" borderId="12" xfId="0" applyNumberFormat="1" applyFont="1" applyBorder="1" applyAlignment="1">
      <alignment/>
    </xf>
    <xf numFmtId="1" fontId="42" fillId="0" borderId="13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left" vertical="top" wrapText="1"/>
    </xf>
    <xf numFmtId="4" fontId="42" fillId="0" borderId="0" xfId="0" applyNumberFormat="1" applyFont="1" applyAlignment="1">
      <alignment horizontal="center"/>
    </xf>
    <xf numFmtId="49" fontId="42" fillId="0" borderId="12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3" fontId="43" fillId="0" borderId="13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horizontal="center" vertical="top" wrapText="1"/>
    </xf>
    <xf numFmtId="3" fontId="43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49" fontId="42" fillId="33" borderId="13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wrapText="1"/>
    </xf>
    <xf numFmtId="49" fontId="42" fillId="33" borderId="12" xfId="0" applyNumberFormat="1" applyFont="1" applyFill="1" applyBorder="1" applyAlignment="1">
      <alignment horizontal="center" wrapText="1"/>
    </xf>
    <xf numFmtId="49" fontId="42" fillId="33" borderId="13" xfId="0" applyNumberFormat="1" applyFont="1" applyFill="1" applyBorder="1" applyAlignment="1">
      <alignment horizontal="center" wrapText="1"/>
    </xf>
    <xf numFmtId="49" fontId="42" fillId="33" borderId="11" xfId="0" applyNumberFormat="1" applyFont="1" applyFill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49" fontId="42" fillId="33" borderId="17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49" fontId="42" fillId="33" borderId="11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textRotation="180" wrapText="1"/>
    </xf>
    <xf numFmtId="164" fontId="42" fillId="0" borderId="15" xfId="0" applyNumberFormat="1" applyFont="1" applyBorder="1" applyAlignment="1">
      <alignment horizontal="center"/>
    </xf>
    <xf numFmtId="164" fontId="42" fillId="0" borderId="16" xfId="0" applyNumberFormat="1" applyFont="1" applyBorder="1" applyAlignment="1">
      <alignment horizontal="center"/>
    </xf>
    <xf numFmtId="49" fontId="42" fillId="0" borderId="13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9" fontId="42" fillId="0" borderId="14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" fontId="43" fillId="0" borderId="10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justify" vertical="top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justify"/>
    </xf>
    <xf numFmtId="0" fontId="43" fillId="0" borderId="10" xfId="0" applyFont="1" applyFill="1" applyBorder="1" applyAlignment="1">
      <alignment vertical="top" wrapText="1"/>
    </xf>
    <xf numFmtId="49" fontId="42" fillId="0" borderId="11" xfId="0" applyNumberFormat="1" applyFont="1" applyFill="1" applyBorder="1" applyAlignment="1">
      <alignment horizontal="center"/>
    </xf>
    <xf numFmtId="49" fontId="42" fillId="0" borderId="15" xfId="0" applyNumberFormat="1" applyFont="1" applyFill="1" applyBorder="1" applyAlignment="1">
      <alignment horizontal="center"/>
    </xf>
    <xf numFmtId="9" fontId="42" fillId="0" borderId="16" xfId="0" applyNumberFormat="1" applyFont="1" applyFill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49" fontId="42" fillId="33" borderId="11" xfId="0" applyNumberFormat="1" applyFont="1" applyFill="1" applyBorder="1" applyAlignment="1">
      <alignment horizontal="center"/>
    </xf>
    <xf numFmtId="49" fontId="42" fillId="33" borderId="12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49" fontId="42" fillId="33" borderId="23" xfId="0" applyNumberFormat="1" applyFont="1" applyFill="1" applyBorder="1" applyAlignment="1">
      <alignment horizontal="center" vertical="center" wrapText="1"/>
    </xf>
    <xf numFmtId="49" fontId="42" fillId="33" borderId="24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justify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43" fillId="34" borderId="20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3" fillId="34" borderId="17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3" fontId="43" fillId="0" borderId="26" xfId="0" applyNumberFormat="1" applyFont="1" applyBorder="1" applyAlignment="1">
      <alignment horizontal="center" vertical="center" wrapText="1"/>
    </xf>
    <xf numFmtId="3" fontId="43" fillId="0" borderId="2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16" fontId="43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6" fontId="46" fillId="0" borderId="0" xfId="0" applyNumberFormat="1" applyFont="1" applyAlignment="1">
      <alignment horizontal="left" vertical="top" wrapText="1"/>
    </xf>
    <xf numFmtId="49" fontId="43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240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81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18</xdr:row>
      <xdr:rowOff>609600</xdr:rowOff>
    </xdr:from>
    <xdr:to>
      <xdr:col>1</xdr:col>
      <xdr:colOff>2362200</xdr:colOff>
      <xdr:row>19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5624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63150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10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43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525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553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240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81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18</xdr:row>
      <xdr:rowOff>609600</xdr:rowOff>
    </xdr:from>
    <xdr:to>
      <xdr:col>1</xdr:col>
      <xdr:colOff>2362200</xdr:colOff>
      <xdr:row>19</xdr:row>
      <xdr:rowOff>57150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5624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63150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10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43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525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553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85" zoomScaleSheetLayoutView="85" zoomScalePageLayoutView="0" workbookViewId="0" topLeftCell="A1">
      <selection activeCell="N2" sqref="N2"/>
    </sheetView>
  </sheetViews>
  <sheetFormatPr defaultColWidth="9.140625" defaultRowHeight="15"/>
  <cols>
    <col min="1" max="1" width="19.00390625" style="29" customWidth="1"/>
    <col min="2" max="2" width="15.421875" style="29" customWidth="1"/>
    <col min="3" max="3" width="12.140625" style="29" customWidth="1"/>
    <col min="4" max="4" width="13.8515625" style="29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26" t="s">
        <v>224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3" spans="1:24" s="17" customFormat="1" ht="45.75" customHeight="1" thickBot="1">
      <c r="A3" s="116" t="s">
        <v>203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0" ht="15">
      <c r="A4" s="130" t="s">
        <v>205</v>
      </c>
      <c r="B4" s="123" t="s">
        <v>50</v>
      </c>
      <c r="C4" s="127" t="s">
        <v>250</v>
      </c>
      <c r="D4" s="128"/>
      <c r="E4" s="128"/>
      <c r="F4" s="129"/>
      <c r="G4" s="127" t="s">
        <v>268</v>
      </c>
      <c r="H4" s="128"/>
      <c r="I4" s="128"/>
      <c r="J4" s="129"/>
    </row>
    <row r="5" spans="1:10" s="20" customFormat="1" ht="15">
      <c r="A5" s="130"/>
      <c r="B5" s="123"/>
      <c r="C5" s="64" t="s">
        <v>19</v>
      </c>
      <c r="D5" s="65" t="s">
        <v>20</v>
      </c>
      <c r="E5" s="66" t="s">
        <v>21</v>
      </c>
      <c r="F5" s="67" t="s">
        <v>22</v>
      </c>
      <c r="G5" s="64" t="s">
        <v>19</v>
      </c>
      <c r="H5" s="65" t="s">
        <v>20</v>
      </c>
      <c r="I5" s="66" t="s">
        <v>21</v>
      </c>
      <c r="J5" s="67" t="s">
        <v>22</v>
      </c>
    </row>
    <row r="6" spans="1:10" s="20" customFormat="1" ht="15">
      <c r="A6" s="68" t="s">
        <v>153</v>
      </c>
      <c r="B6" s="69" t="s">
        <v>137</v>
      </c>
      <c r="C6" s="70" t="s">
        <v>147</v>
      </c>
      <c r="D6" s="68" t="s">
        <v>154</v>
      </c>
      <c r="E6" s="68" t="s">
        <v>206</v>
      </c>
      <c r="F6" s="71" t="s">
        <v>207</v>
      </c>
      <c r="G6" s="70" t="s">
        <v>269</v>
      </c>
      <c r="H6" s="68" t="s">
        <v>270</v>
      </c>
      <c r="I6" s="68" t="s">
        <v>271</v>
      </c>
      <c r="J6" s="71" t="s">
        <v>272</v>
      </c>
    </row>
    <row r="7" spans="1:10" ht="15">
      <c r="A7" s="21" t="s">
        <v>204</v>
      </c>
      <c r="B7" s="22" t="s">
        <v>249</v>
      </c>
      <c r="C7" s="23" t="s">
        <v>152</v>
      </c>
      <c r="D7" s="24" t="s">
        <v>152</v>
      </c>
      <c r="E7" s="18">
        <f>5+37</f>
        <v>42</v>
      </c>
      <c r="F7" s="19">
        <v>4</v>
      </c>
      <c r="G7" s="110" t="s">
        <v>152</v>
      </c>
      <c r="H7" s="111" t="s">
        <v>152</v>
      </c>
      <c r="I7" s="18">
        <v>45</v>
      </c>
      <c r="J7" s="19">
        <v>4</v>
      </c>
    </row>
    <row r="8" spans="1:10" ht="15.75" thickBot="1">
      <c r="A8" s="21" t="s">
        <v>238</v>
      </c>
      <c r="B8" s="22" t="s">
        <v>249</v>
      </c>
      <c r="C8" s="25" t="s">
        <v>152</v>
      </c>
      <c r="D8" s="26" t="s">
        <v>152</v>
      </c>
      <c r="E8" s="72">
        <v>4</v>
      </c>
      <c r="F8" s="27">
        <v>43</v>
      </c>
      <c r="G8" s="25" t="s">
        <v>152</v>
      </c>
      <c r="H8" s="26" t="s">
        <v>152</v>
      </c>
      <c r="I8" s="72">
        <v>4</v>
      </c>
      <c r="J8" s="27">
        <v>46</v>
      </c>
    </row>
    <row r="9" ht="15">
      <c r="A9" s="81" t="s">
        <v>263</v>
      </c>
    </row>
    <row r="11" spans="1:14" s="30" customFormat="1" ht="60" customHeight="1" thickBot="1">
      <c r="A11" s="116" t="s">
        <v>208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0" s="32" customFormat="1" ht="60">
      <c r="A12" s="131" t="s">
        <v>205</v>
      </c>
      <c r="B12" s="73" t="s">
        <v>209</v>
      </c>
      <c r="C12" s="74" t="s">
        <v>210</v>
      </c>
      <c r="D12" s="73" t="s">
        <v>209</v>
      </c>
      <c r="E12" s="113" t="s">
        <v>210</v>
      </c>
      <c r="F12" s="31"/>
      <c r="G12" s="31"/>
      <c r="H12" s="31"/>
      <c r="I12" s="31"/>
      <c r="J12" s="31"/>
    </row>
    <row r="13" spans="1:10" s="32" customFormat="1" ht="15" customHeight="1">
      <c r="A13" s="132"/>
      <c r="B13" s="133" t="s">
        <v>250</v>
      </c>
      <c r="C13" s="134"/>
      <c r="D13" s="133" t="s">
        <v>268</v>
      </c>
      <c r="E13" s="134"/>
      <c r="F13" s="31"/>
      <c r="G13" s="31"/>
      <c r="H13" s="31"/>
      <c r="I13" s="31"/>
      <c r="J13" s="31"/>
    </row>
    <row r="14" spans="1:10" s="32" customFormat="1" ht="15">
      <c r="A14" s="69" t="s">
        <v>153</v>
      </c>
      <c r="B14" s="70" t="s">
        <v>137</v>
      </c>
      <c r="C14" s="71" t="s">
        <v>147</v>
      </c>
      <c r="D14" s="70" t="s">
        <v>154</v>
      </c>
      <c r="E14" s="71" t="s">
        <v>206</v>
      </c>
      <c r="F14" s="31"/>
      <c r="G14" s="31"/>
      <c r="H14" s="31"/>
      <c r="I14" s="31"/>
      <c r="J14" s="31"/>
    </row>
    <row r="15" spans="1:5" ht="15">
      <c r="A15" s="33" t="s">
        <v>204</v>
      </c>
      <c r="B15" s="34">
        <f>66+18</f>
        <v>84</v>
      </c>
      <c r="C15" s="35">
        <f>B15</f>
        <v>84</v>
      </c>
      <c r="D15" s="34">
        <v>88</v>
      </c>
      <c r="E15" s="35">
        <v>88</v>
      </c>
    </row>
    <row r="16" spans="1:5" ht="15">
      <c r="A16" s="21" t="s">
        <v>238</v>
      </c>
      <c r="B16" s="34">
        <v>47</v>
      </c>
      <c r="C16" s="35">
        <v>47</v>
      </c>
      <c r="D16" s="34">
        <v>49</v>
      </c>
      <c r="E16" s="35">
        <v>49</v>
      </c>
    </row>
    <row r="17" spans="1:5" ht="15">
      <c r="A17" s="33" t="s">
        <v>255</v>
      </c>
      <c r="B17" s="34">
        <v>0</v>
      </c>
      <c r="C17" s="35">
        <v>0</v>
      </c>
      <c r="D17" s="34">
        <v>0</v>
      </c>
      <c r="E17" s="35">
        <v>0</v>
      </c>
    </row>
    <row r="18" spans="1:5" ht="15">
      <c r="A18" s="33" t="s">
        <v>251</v>
      </c>
      <c r="B18" s="34">
        <v>44</v>
      </c>
      <c r="C18" s="35">
        <v>44</v>
      </c>
      <c r="D18" s="34">
        <v>46</v>
      </c>
      <c r="E18" s="35">
        <v>46</v>
      </c>
    </row>
    <row r="19" spans="1:5" ht="15">
      <c r="A19" s="33" t="s">
        <v>252</v>
      </c>
      <c r="B19" s="34">
        <v>3</v>
      </c>
      <c r="C19" s="35">
        <v>3</v>
      </c>
      <c r="D19" s="34">
        <v>3</v>
      </c>
      <c r="E19" s="35">
        <v>3</v>
      </c>
    </row>
    <row r="20" spans="1:5" ht="15">
      <c r="A20" s="33" t="s">
        <v>253</v>
      </c>
      <c r="B20" s="75">
        <v>0</v>
      </c>
      <c r="C20" s="63">
        <v>0</v>
      </c>
      <c r="D20" s="75">
        <v>0</v>
      </c>
      <c r="E20" s="63">
        <v>0</v>
      </c>
    </row>
    <row r="21" spans="1:5" ht="15.75" thickBot="1">
      <c r="A21" s="33" t="s">
        <v>254</v>
      </c>
      <c r="B21" s="76">
        <v>0</v>
      </c>
      <c r="C21" s="77">
        <v>0</v>
      </c>
      <c r="D21" s="76">
        <v>0</v>
      </c>
      <c r="E21" s="77">
        <v>0</v>
      </c>
    </row>
    <row r="22" spans="1:4" ht="15">
      <c r="A22" s="81" t="s">
        <v>264</v>
      </c>
      <c r="B22" s="36"/>
      <c r="C22" s="36"/>
      <c r="D22" s="1"/>
    </row>
    <row r="24" spans="1:14" ht="39.75" customHeight="1" thickBot="1">
      <c r="A24" s="116" t="s">
        <v>211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0" s="31" customFormat="1" ht="15" customHeight="1">
      <c r="A25" s="124" t="s">
        <v>212</v>
      </c>
      <c r="B25" s="118" t="s">
        <v>213</v>
      </c>
      <c r="C25" s="118"/>
      <c r="D25" s="118" t="s">
        <v>214</v>
      </c>
      <c r="E25" s="119"/>
      <c r="F25" s="124" t="s">
        <v>212</v>
      </c>
      <c r="G25" s="118" t="s">
        <v>213</v>
      </c>
      <c r="H25" s="118"/>
      <c r="I25" s="118" t="s">
        <v>214</v>
      </c>
      <c r="J25" s="119"/>
    </row>
    <row r="26" spans="1:10" ht="15">
      <c r="A26" s="125"/>
      <c r="B26" s="78" t="s">
        <v>216</v>
      </c>
      <c r="C26" s="78" t="s">
        <v>215</v>
      </c>
      <c r="D26" s="78" t="s">
        <v>216</v>
      </c>
      <c r="E26" s="79" t="s">
        <v>215</v>
      </c>
      <c r="F26" s="125"/>
      <c r="G26" s="78" t="s">
        <v>216</v>
      </c>
      <c r="H26" s="78" t="s">
        <v>215</v>
      </c>
      <c r="I26" s="78" t="s">
        <v>216</v>
      </c>
      <c r="J26" s="79" t="s">
        <v>215</v>
      </c>
    </row>
    <row r="27" spans="1:10" ht="15">
      <c r="A27" s="120" t="s">
        <v>250</v>
      </c>
      <c r="B27" s="121"/>
      <c r="C27" s="121"/>
      <c r="D27" s="121"/>
      <c r="E27" s="122"/>
      <c r="F27" s="120" t="s">
        <v>268</v>
      </c>
      <c r="G27" s="121"/>
      <c r="H27" s="121"/>
      <c r="I27" s="121"/>
      <c r="J27" s="122"/>
    </row>
    <row r="28" spans="1:10" s="20" customFormat="1" ht="15.75" thickBot="1">
      <c r="A28" s="76">
        <v>13</v>
      </c>
      <c r="B28" s="89">
        <v>0.84</v>
      </c>
      <c r="C28" s="89">
        <v>4.54</v>
      </c>
      <c r="D28" s="89">
        <v>17.085</v>
      </c>
      <c r="E28" s="90">
        <v>3.782</v>
      </c>
      <c r="F28" s="76">
        <v>46</v>
      </c>
      <c r="G28" s="89">
        <v>9.273</v>
      </c>
      <c r="H28" s="89">
        <v>4.54</v>
      </c>
      <c r="I28" s="89">
        <v>47.78</v>
      </c>
      <c r="J28" s="90">
        <v>6.034</v>
      </c>
    </row>
    <row r="29" spans="1:4" s="20" customFormat="1" ht="15">
      <c r="A29" s="28" t="s">
        <v>248</v>
      </c>
      <c r="B29" s="36"/>
      <c r="C29" s="36"/>
      <c r="D29" s="38"/>
    </row>
    <row r="31" spans="1:14" ht="35.25" customHeight="1" thickBot="1">
      <c r="A31" s="116" t="s">
        <v>217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0" s="32" customFormat="1" ht="15" customHeight="1">
      <c r="A32" s="123" t="s">
        <v>219</v>
      </c>
      <c r="B32" s="117" t="s">
        <v>218</v>
      </c>
      <c r="C32" s="118"/>
      <c r="D32" s="118"/>
      <c r="E32" s="119"/>
      <c r="F32" s="123" t="s">
        <v>219</v>
      </c>
      <c r="G32" s="117" t="s">
        <v>218</v>
      </c>
      <c r="H32" s="118"/>
      <c r="I32" s="118"/>
      <c r="J32" s="119"/>
    </row>
    <row r="33" spans="1:10" s="20" customFormat="1" ht="15">
      <c r="A33" s="123"/>
      <c r="B33" s="114" t="s">
        <v>19</v>
      </c>
      <c r="C33" s="78" t="s">
        <v>20</v>
      </c>
      <c r="D33" s="78" t="s">
        <v>21</v>
      </c>
      <c r="E33" s="115" t="s">
        <v>22</v>
      </c>
      <c r="F33" s="123"/>
      <c r="G33" s="114" t="s">
        <v>19</v>
      </c>
      <c r="H33" s="78" t="s">
        <v>20</v>
      </c>
      <c r="I33" s="78" t="s">
        <v>21</v>
      </c>
      <c r="J33" s="115" t="s">
        <v>22</v>
      </c>
    </row>
    <row r="34" spans="1:10" ht="15">
      <c r="A34" s="123"/>
      <c r="B34" s="120" t="s">
        <v>250</v>
      </c>
      <c r="C34" s="121"/>
      <c r="D34" s="121"/>
      <c r="E34" s="122"/>
      <c r="F34" s="123"/>
      <c r="G34" s="120" t="s">
        <v>268</v>
      </c>
      <c r="H34" s="121"/>
      <c r="I34" s="121"/>
      <c r="J34" s="122"/>
    </row>
    <row r="35" spans="1:10" ht="15">
      <c r="A35" s="39" t="s">
        <v>230</v>
      </c>
      <c r="B35" s="91"/>
      <c r="C35" s="92"/>
      <c r="D35" s="92" t="s">
        <v>265</v>
      </c>
      <c r="E35" s="107" t="s">
        <v>266</v>
      </c>
      <c r="F35" s="112" t="s">
        <v>230</v>
      </c>
      <c r="G35" s="91" t="s">
        <v>273</v>
      </c>
      <c r="H35" s="92"/>
      <c r="I35" s="92" t="s">
        <v>274</v>
      </c>
      <c r="J35" s="107" t="s">
        <v>275</v>
      </c>
    </row>
    <row r="36" spans="1:10" ht="15.75" thickBot="1">
      <c r="A36" s="22" t="s">
        <v>231</v>
      </c>
      <c r="B36" s="93"/>
      <c r="C36" s="94"/>
      <c r="D36" s="108" t="s">
        <v>267</v>
      </c>
      <c r="E36" s="109">
        <v>0.37</v>
      </c>
      <c r="F36" s="22" t="s">
        <v>231</v>
      </c>
      <c r="G36" s="93"/>
      <c r="H36" s="94"/>
      <c r="I36" s="108" t="s">
        <v>274</v>
      </c>
      <c r="J36" s="109">
        <v>0.37</v>
      </c>
    </row>
  </sheetData>
  <sheetProtection/>
  <mergeCells count="26">
    <mergeCell ref="A24:N24"/>
    <mergeCell ref="A1:R1"/>
    <mergeCell ref="C4:F4"/>
    <mergeCell ref="A4:A5"/>
    <mergeCell ref="B4:B5"/>
    <mergeCell ref="A3:N3"/>
    <mergeCell ref="A11:N11"/>
    <mergeCell ref="A12:A13"/>
    <mergeCell ref="B13:C13"/>
    <mergeCell ref="G4:J4"/>
    <mergeCell ref="D13:E13"/>
    <mergeCell ref="A31:N31"/>
    <mergeCell ref="B32:E32"/>
    <mergeCell ref="B34:E34"/>
    <mergeCell ref="A32:A34"/>
    <mergeCell ref="A25:A26"/>
    <mergeCell ref="A27:E27"/>
    <mergeCell ref="B25:C25"/>
    <mergeCell ref="D25:E25"/>
    <mergeCell ref="F25:F26"/>
    <mergeCell ref="G25:H25"/>
    <mergeCell ref="I25:J25"/>
    <mergeCell ref="F27:J27"/>
    <mergeCell ref="F32:F34"/>
    <mergeCell ref="G32:J32"/>
    <mergeCell ref="G34:J34"/>
  </mergeCells>
  <printOptions/>
  <pageMargins left="0.7" right="0.7" top="0.75" bottom="0.75" header="0.3" footer="0.3"/>
  <pageSetup horizontalDpi="600" verticalDpi="600" orientation="landscape" paperSize="9" scale="69" r:id="rId1"/>
  <colBreaks count="1" manualBreakCount="1">
    <brk id="14" max="65535" man="1"/>
  </colBreaks>
  <ignoredErrors>
    <ignoredError sqref="A6:B6 A14 C35 C6:F6 B14:C14 C36 D35:E36 G6:J6 D14:E14 G35:J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zoomScalePageLayoutView="0" workbookViewId="0" topLeftCell="A1">
      <selection activeCell="E13" sqref="E13:E14"/>
    </sheetView>
  </sheetViews>
  <sheetFormatPr defaultColWidth="9.140625" defaultRowHeight="15"/>
  <cols>
    <col min="1" max="1" width="6.7109375" style="95" customWidth="1"/>
    <col min="2" max="2" width="53.8515625" style="95" customWidth="1"/>
    <col min="3" max="3" width="12.28125" style="95" customWidth="1"/>
    <col min="4" max="4" width="13.28125" style="95" customWidth="1"/>
    <col min="5" max="5" width="14.140625" style="95" customWidth="1"/>
    <col min="6" max="18" width="9.140625" style="95" customWidth="1"/>
    <col min="19" max="19" width="32.7109375" style="95" customWidth="1"/>
    <col min="20" max="20" width="34.421875" style="95" customWidth="1"/>
    <col min="21" max="16384" width="9.140625" style="95" customWidth="1"/>
  </cols>
  <sheetData>
    <row r="1" spans="1:13" ht="15.75" customHeight="1">
      <c r="A1" s="136" t="s">
        <v>239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96" customFormat="1" ht="12.75" customHeight="1">
      <c r="A2" s="142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:5" ht="15" customHeight="1">
      <c r="A4" s="137" t="s">
        <v>2</v>
      </c>
      <c r="B4" s="137" t="s">
        <v>0</v>
      </c>
      <c r="C4" s="137" t="s">
        <v>1</v>
      </c>
      <c r="D4" s="137"/>
      <c r="E4" s="137"/>
    </row>
    <row r="5" spans="1:5" ht="38.25">
      <c r="A5" s="137"/>
      <c r="B5" s="137"/>
      <c r="C5" s="97" t="s">
        <v>3</v>
      </c>
      <c r="D5" s="97" t="s">
        <v>4</v>
      </c>
      <c r="E5" s="97" t="s">
        <v>5</v>
      </c>
    </row>
    <row r="6" spans="1:5" ht="13.5">
      <c r="A6" s="97">
        <v>1</v>
      </c>
      <c r="B6" s="97">
        <v>2</v>
      </c>
      <c r="C6" s="98">
        <v>3</v>
      </c>
      <c r="D6" s="98">
        <v>4</v>
      </c>
      <c r="E6" s="98">
        <v>5</v>
      </c>
    </row>
    <row r="7" spans="1:5" ht="25.5" customHeight="1">
      <c r="A7" s="137">
        <v>1</v>
      </c>
      <c r="B7" s="135" t="s">
        <v>221</v>
      </c>
      <c r="C7" s="138">
        <v>0.541</v>
      </c>
      <c r="D7" s="138">
        <v>5.7867</v>
      </c>
      <c r="E7" s="139">
        <f>(D7-C7)/C7*100</f>
        <v>969.6303142329018</v>
      </c>
    </row>
    <row r="8" spans="1:5" ht="15">
      <c r="A8" s="137"/>
      <c r="B8" s="135"/>
      <c r="C8" s="138"/>
      <c r="D8" s="138"/>
      <c r="E8" s="139"/>
    </row>
    <row r="9" spans="1:5" ht="15">
      <c r="A9" s="99" t="s">
        <v>97</v>
      </c>
      <c r="B9" s="100" t="s">
        <v>6</v>
      </c>
      <c r="C9" s="101" t="s">
        <v>116</v>
      </c>
      <c r="D9" s="101" t="s">
        <v>116</v>
      </c>
      <c r="E9" s="101" t="s">
        <v>116</v>
      </c>
    </row>
    <row r="10" spans="1:5" ht="15">
      <c r="A10" s="99" t="s">
        <v>98</v>
      </c>
      <c r="B10" s="100" t="s">
        <v>7</v>
      </c>
      <c r="C10" s="101" t="s">
        <v>116</v>
      </c>
      <c r="D10" s="101" t="s">
        <v>116</v>
      </c>
      <c r="E10" s="101" t="s">
        <v>116</v>
      </c>
    </row>
    <row r="11" spans="1:5" ht="15">
      <c r="A11" s="99" t="s">
        <v>99</v>
      </c>
      <c r="B11" s="100" t="s">
        <v>8</v>
      </c>
      <c r="C11" s="101">
        <f>C7</f>
        <v>0.541</v>
      </c>
      <c r="D11" s="101">
        <v>5.7867</v>
      </c>
      <c r="E11" s="102">
        <f>E7</f>
        <v>969.6303142329018</v>
      </c>
    </row>
    <row r="12" spans="1:5" ht="15">
      <c r="A12" s="99" t="s">
        <v>100</v>
      </c>
      <c r="B12" s="100" t="s">
        <v>9</v>
      </c>
      <c r="C12" s="101">
        <f>C7</f>
        <v>0.541</v>
      </c>
      <c r="D12" s="101">
        <v>5.7867</v>
      </c>
      <c r="E12" s="102">
        <f>E7</f>
        <v>969.6303142329018</v>
      </c>
    </row>
    <row r="13" spans="1:5" ht="25.5" customHeight="1">
      <c r="A13" s="137">
        <v>2</v>
      </c>
      <c r="B13" s="135" t="s">
        <v>220</v>
      </c>
      <c r="C13" s="138">
        <v>1.6163</v>
      </c>
      <c r="D13" s="138">
        <v>2.3333</v>
      </c>
      <c r="E13" s="139">
        <f>(D13-C13)/C13*100</f>
        <v>44.36057662562642</v>
      </c>
    </row>
    <row r="14" spans="1:5" ht="15">
      <c r="A14" s="137"/>
      <c r="B14" s="135"/>
      <c r="C14" s="138"/>
      <c r="D14" s="138"/>
      <c r="E14" s="139"/>
    </row>
    <row r="15" spans="1:5" ht="15">
      <c r="A15" s="99" t="s">
        <v>101</v>
      </c>
      <c r="B15" s="100" t="s">
        <v>6</v>
      </c>
      <c r="C15" s="101" t="s">
        <v>116</v>
      </c>
      <c r="D15" s="101" t="s">
        <v>116</v>
      </c>
      <c r="E15" s="101" t="s">
        <v>116</v>
      </c>
    </row>
    <row r="16" spans="1:5" ht="15">
      <c r="A16" s="99" t="s">
        <v>102</v>
      </c>
      <c r="B16" s="100" t="s">
        <v>7</v>
      </c>
      <c r="C16" s="101" t="s">
        <v>116</v>
      </c>
      <c r="D16" s="101" t="s">
        <v>116</v>
      </c>
      <c r="E16" s="101" t="s">
        <v>116</v>
      </c>
    </row>
    <row r="17" spans="1:5" ht="15">
      <c r="A17" s="99" t="s">
        <v>103</v>
      </c>
      <c r="B17" s="100" t="s">
        <v>8</v>
      </c>
      <c r="C17" s="101">
        <f>C13</f>
        <v>1.6163</v>
      </c>
      <c r="D17" s="101">
        <v>2.3333</v>
      </c>
      <c r="E17" s="102">
        <f>E13</f>
        <v>44.36057662562642</v>
      </c>
    </row>
    <row r="18" spans="1:5" ht="15">
      <c r="A18" s="99" t="s">
        <v>104</v>
      </c>
      <c r="B18" s="100" t="s">
        <v>9</v>
      </c>
      <c r="C18" s="101">
        <f>C13</f>
        <v>1.6163</v>
      </c>
      <c r="D18" s="101">
        <v>2.3333</v>
      </c>
      <c r="E18" s="102">
        <f>E13</f>
        <v>44.36057662562642</v>
      </c>
    </row>
    <row r="19" spans="1:5" ht="63.75" customHeight="1">
      <c r="A19" s="137">
        <v>3</v>
      </c>
      <c r="B19" s="135" t="s">
        <v>222</v>
      </c>
      <c r="C19" s="143">
        <v>6.3507</v>
      </c>
      <c r="D19" s="143">
        <v>0</v>
      </c>
      <c r="E19" s="139">
        <f>(D19-C19)/C19*100</f>
        <v>-100</v>
      </c>
    </row>
    <row r="20" spans="1:5" ht="15">
      <c r="A20" s="137"/>
      <c r="B20" s="135"/>
      <c r="C20" s="144"/>
      <c r="D20" s="144"/>
      <c r="E20" s="139"/>
    </row>
    <row r="21" spans="1:5" ht="15">
      <c r="A21" s="99" t="s">
        <v>105</v>
      </c>
      <c r="B21" s="100" t="s">
        <v>6</v>
      </c>
      <c r="C21" s="101" t="s">
        <v>116</v>
      </c>
      <c r="D21" s="101" t="s">
        <v>116</v>
      </c>
      <c r="E21" s="101" t="s">
        <v>116</v>
      </c>
    </row>
    <row r="22" spans="1:5" ht="15">
      <c r="A22" s="99" t="s">
        <v>106</v>
      </c>
      <c r="B22" s="100" t="s">
        <v>7</v>
      </c>
      <c r="C22" s="101" t="s">
        <v>116</v>
      </c>
      <c r="D22" s="101" t="s">
        <v>116</v>
      </c>
      <c r="E22" s="101" t="s">
        <v>116</v>
      </c>
    </row>
    <row r="23" spans="1:5" ht="15">
      <c r="A23" s="99" t="s">
        <v>107</v>
      </c>
      <c r="B23" s="100" t="s">
        <v>8</v>
      </c>
      <c r="C23" s="101">
        <f>C19</f>
        <v>6.3507</v>
      </c>
      <c r="D23" s="101">
        <v>0</v>
      </c>
      <c r="E23" s="102">
        <f>E19</f>
        <v>-100</v>
      </c>
    </row>
    <row r="24" spans="1:5" ht="15">
      <c r="A24" s="99" t="s">
        <v>108</v>
      </c>
      <c r="B24" s="100" t="s">
        <v>9</v>
      </c>
      <c r="C24" s="101">
        <f>C19</f>
        <v>6.3507</v>
      </c>
      <c r="D24" s="101">
        <v>0</v>
      </c>
      <c r="E24" s="102">
        <f>E19</f>
        <v>-100</v>
      </c>
    </row>
    <row r="25" spans="1:5" ht="63.75" customHeight="1">
      <c r="A25" s="137">
        <v>4</v>
      </c>
      <c r="B25" s="135" t="s">
        <v>223</v>
      </c>
      <c r="C25" s="138">
        <f>C13</f>
        <v>1.6163</v>
      </c>
      <c r="D25" s="138">
        <v>0</v>
      </c>
      <c r="E25" s="139">
        <f>(D25-C25)/C25*100</f>
        <v>-100</v>
      </c>
    </row>
    <row r="26" spans="1:5" ht="15">
      <c r="A26" s="137"/>
      <c r="B26" s="135"/>
      <c r="C26" s="138"/>
      <c r="D26" s="138"/>
      <c r="E26" s="139"/>
    </row>
    <row r="27" spans="1:5" ht="15">
      <c r="A27" s="99" t="s">
        <v>109</v>
      </c>
      <c r="B27" s="100" t="s">
        <v>6</v>
      </c>
      <c r="C27" s="101" t="s">
        <v>116</v>
      </c>
      <c r="D27" s="101" t="s">
        <v>116</v>
      </c>
      <c r="E27" s="101" t="s">
        <v>116</v>
      </c>
    </row>
    <row r="28" spans="1:5" ht="15">
      <c r="A28" s="99" t="s">
        <v>110</v>
      </c>
      <c r="B28" s="100" t="s">
        <v>7</v>
      </c>
      <c r="C28" s="101" t="s">
        <v>116</v>
      </c>
      <c r="D28" s="101" t="s">
        <v>116</v>
      </c>
      <c r="E28" s="101" t="s">
        <v>116</v>
      </c>
    </row>
    <row r="29" spans="1:5" ht="15">
      <c r="A29" s="99" t="s">
        <v>111</v>
      </c>
      <c r="B29" s="100" t="s">
        <v>8</v>
      </c>
      <c r="C29" s="101">
        <f>C25</f>
        <v>1.6163</v>
      </c>
      <c r="D29" s="101">
        <v>0</v>
      </c>
      <c r="E29" s="101" t="s">
        <v>116</v>
      </c>
    </row>
    <row r="30" spans="1:5" ht="15">
      <c r="A30" s="99" t="s">
        <v>112</v>
      </c>
      <c r="B30" s="100" t="s">
        <v>9</v>
      </c>
      <c r="C30" s="101">
        <f>C25</f>
        <v>1.6163</v>
      </c>
      <c r="D30" s="101">
        <v>0</v>
      </c>
      <c r="E30" s="101" t="s">
        <v>116</v>
      </c>
    </row>
    <row r="31" spans="1:5" ht="38.25">
      <c r="A31" s="97">
        <v>5</v>
      </c>
      <c r="B31" s="103" t="s">
        <v>10</v>
      </c>
      <c r="C31" s="101">
        <v>0</v>
      </c>
      <c r="D31" s="101">
        <v>0</v>
      </c>
      <c r="E31" s="101">
        <v>0</v>
      </c>
    </row>
    <row r="32" spans="1:5" ht="51">
      <c r="A32" s="99" t="s">
        <v>113</v>
      </c>
      <c r="B32" s="103" t="s">
        <v>11</v>
      </c>
      <c r="C32" s="101">
        <v>0</v>
      </c>
      <c r="D32" s="101">
        <v>0</v>
      </c>
      <c r="E32" s="101">
        <v>0</v>
      </c>
    </row>
    <row r="34" spans="1:20" s="104" customFormat="1" ht="12.75" customHeight="1">
      <c r="A34" s="140" t="s">
        <v>225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ht="15">
      <c r="A35" s="105"/>
    </row>
    <row r="36" spans="1:20" ht="133.5" customHeight="1">
      <c r="A36" s="137" t="s">
        <v>2</v>
      </c>
      <c r="B36" s="137" t="s">
        <v>12</v>
      </c>
      <c r="C36" s="137" t="s">
        <v>13</v>
      </c>
      <c r="D36" s="137"/>
      <c r="E36" s="137"/>
      <c r="F36" s="137"/>
      <c r="G36" s="137" t="s">
        <v>14</v>
      </c>
      <c r="H36" s="137"/>
      <c r="I36" s="137"/>
      <c r="J36" s="137"/>
      <c r="K36" s="137" t="s">
        <v>15</v>
      </c>
      <c r="L36" s="137"/>
      <c r="M36" s="137"/>
      <c r="N36" s="137"/>
      <c r="O36" s="137" t="s">
        <v>16</v>
      </c>
      <c r="P36" s="137"/>
      <c r="Q36" s="137"/>
      <c r="R36" s="137"/>
      <c r="S36" s="137" t="s">
        <v>17</v>
      </c>
      <c r="T36" s="137" t="s">
        <v>18</v>
      </c>
    </row>
    <row r="37" spans="1:20" ht="33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</row>
    <row r="38" spans="1:20" ht="15">
      <c r="A38" s="137"/>
      <c r="B38" s="137"/>
      <c r="C38" s="97" t="s">
        <v>19</v>
      </c>
      <c r="D38" s="97" t="s">
        <v>20</v>
      </c>
      <c r="E38" s="97" t="s">
        <v>21</v>
      </c>
      <c r="F38" s="97" t="s">
        <v>22</v>
      </c>
      <c r="G38" s="97" t="s">
        <v>19</v>
      </c>
      <c r="H38" s="97" t="s">
        <v>20</v>
      </c>
      <c r="I38" s="97" t="s">
        <v>21</v>
      </c>
      <c r="J38" s="97" t="s">
        <v>22</v>
      </c>
      <c r="K38" s="97" t="s">
        <v>19</v>
      </c>
      <c r="L38" s="97" t="s">
        <v>20</v>
      </c>
      <c r="M38" s="97" t="s">
        <v>21</v>
      </c>
      <c r="N38" s="97" t="s">
        <v>22</v>
      </c>
      <c r="O38" s="97" t="s">
        <v>19</v>
      </c>
      <c r="P38" s="97" t="s">
        <v>20</v>
      </c>
      <c r="Q38" s="97" t="s">
        <v>21</v>
      </c>
      <c r="R38" s="97" t="s">
        <v>22</v>
      </c>
      <c r="S38" s="137"/>
      <c r="T38" s="137"/>
    </row>
    <row r="39" spans="1:20" ht="15">
      <c r="A39" s="97">
        <v>1</v>
      </c>
      <c r="B39" s="97">
        <v>2</v>
      </c>
      <c r="C39" s="97">
        <v>3</v>
      </c>
      <c r="D39" s="97">
        <v>4</v>
      </c>
      <c r="E39" s="97">
        <v>5</v>
      </c>
      <c r="F39" s="97">
        <v>6</v>
      </c>
      <c r="G39" s="97">
        <v>7</v>
      </c>
      <c r="H39" s="97">
        <v>8</v>
      </c>
      <c r="I39" s="97">
        <v>9</v>
      </c>
      <c r="J39" s="97">
        <v>10</v>
      </c>
      <c r="K39" s="97">
        <v>11</v>
      </c>
      <c r="L39" s="97">
        <v>12</v>
      </c>
      <c r="M39" s="97">
        <v>13</v>
      </c>
      <c r="N39" s="97">
        <v>14</v>
      </c>
      <c r="O39" s="97">
        <v>15</v>
      </c>
      <c r="P39" s="97">
        <v>16</v>
      </c>
      <c r="Q39" s="97">
        <v>17</v>
      </c>
      <c r="R39" s="97">
        <v>18</v>
      </c>
      <c r="S39" s="97">
        <v>19</v>
      </c>
      <c r="T39" s="97">
        <v>20</v>
      </c>
    </row>
    <row r="40" spans="1:20" ht="15">
      <c r="A40" s="97">
        <v>1</v>
      </c>
      <c r="B40" s="106" t="s">
        <v>236</v>
      </c>
      <c r="C40" s="97"/>
      <c r="D40" s="97"/>
      <c r="E40" s="97">
        <f>D7</f>
        <v>5.7867</v>
      </c>
      <c r="F40" s="97">
        <f>D12</f>
        <v>5.7867</v>
      </c>
      <c r="G40" s="97"/>
      <c r="H40" s="97"/>
      <c r="I40" s="97">
        <f>D13</f>
        <v>2.3333</v>
      </c>
      <c r="J40" s="97">
        <f>D18</f>
        <v>2.3333</v>
      </c>
      <c r="K40" s="97"/>
      <c r="L40" s="97"/>
      <c r="M40" s="97">
        <f>D23</f>
        <v>0</v>
      </c>
      <c r="N40" s="97">
        <f>D24</f>
        <v>0</v>
      </c>
      <c r="O40" s="97"/>
      <c r="P40" s="97"/>
      <c r="Q40" s="97">
        <v>0</v>
      </c>
      <c r="R40" s="97">
        <v>0</v>
      </c>
      <c r="S40" s="97">
        <v>0.8975</v>
      </c>
      <c r="T40" s="97">
        <v>0</v>
      </c>
    </row>
    <row r="41" spans="1:20" ht="15">
      <c r="A41" s="97" t="s">
        <v>23</v>
      </c>
      <c r="B41" s="106" t="s">
        <v>24</v>
      </c>
      <c r="C41" s="101">
        <f>C40</f>
        <v>0</v>
      </c>
      <c r="D41" s="101">
        <f aca="true" t="shared" si="0" ref="D41:S41">D40</f>
        <v>0</v>
      </c>
      <c r="E41" s="101">
        <f t="shared" si="0"/>
        <v>5.7867</v>
      </c>
      <c r="F41" s="101">
        <f t="shared" si="0"/>
        <v>5.7867</v>
      </c>
      <c r="G41" s="101">
        <f t="shared" si="0"/>
        <v>0</v>
      </c>
      <c r="H41" s="101">
        <f t="shared" si="0"/>
        <v>0</v>
      </c>
      <c r="I41" s="101">
        <f t="shared" si="0"/>
        <v>2.3333</v>
      </c>
      <c r="J41" s="101">
        <f t="shared" si="0"/>
        <v>2.3333</v>
      </c>
      <c r="K41" s="101">
        <f t="shared" si="0"/>
        <v>0</v>
      </c>
      <c r="L41" s="101">
        <f t="shared" si="0"/>
        <v>0</v>
      </c>
      <c r="M41" s="101">
        <f t="shared" si="0"/>
        <v>0</v>
      </c>
      <c r="N41" s="101">
        <f t="shared" si="0"/>
        <v>0</v>
      </c>
      <c r="O41" s="101">
        <f t="shared" si="0"/>
        <v>0</v>
      </c>
      <c r="P41" s="101">
        <f t="shared" si="0"/>
        <v>0</v>
      </c>
      <c r="Q41" s="101">
        <f t="shared" si="0"/>
        <v>0</v>
      </c>
      <c r="R41" s="101">
        <f t="shared" si="0"/>
        <v>0</v>
      </c>
      <c r="S41" s="101">
        <f t="shared" si="0"/>
        <v>0.8975</v>
      </c>
      <c r="T41" s="101">
        <v>0</v>
      </c>
    </row>
    <row r="42" ht="15">
      <c r="A42" s="105"/>
    </row>
    <row r="43" spans="1:20" ht="15" customHeight="1">
      <c r="A43" s="140" t="s">
        <v>124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</row>
    <row r="44" spans="1:20" ht="15" customHeight="1">
      <c r="A44" s="146" t="s">
        <v>125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20" ht="15" customHeight="1">
      <c r="A45" s="146" t="s">
        <v>126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</row>
    <row r="46" spans="1:20" ht="15" customHeight="1">
      <c r="A46" s="146" t="s">
        <v>127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  <row r="47" spans="1:20" ht="15" customHeight="1">
      <c r="A47" s="140" t="s">
        <v>25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</sheetData>
  <sheetProtection/>
  <mergeCells count="39"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="85" zoomScaleSheetLayoutView="85" zoomScalePageLayoutView="0" workbookViewId="0" topLeftCell="A1">
      <selection activeCell="P1" sqref="P1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0.57421875" style="1" customWidth="1"/>
    <col min="6" max="7" width="10.7109375" style="1" customWidth="1"/>
    <col min="8" max="8" width="11.421875" style="1" customWidth="1"/>
    <col min="9" max="9" width="10.8515625" style="1" customWidth="1"/>
    <col min="10" max="10" width="10.140625" style="1" customWidth="1"/>
    <col min="11" max="11" width="11.140625" style="1" customWidth="1"/>
    <col min="12" max="12" width="9.140625" style="1" customWidth="1"/>
    <col min="13" max="13" width="10.8515625" style="1" customWidth="1"/>
    <col min="14" max="14" width="11.140625" style="1" customWidth="1"/>
    <col min="15" max="15" width="10.42187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0.421875" style="1" customWidth="1"/>
    <col min="20" max="16384" width="9.140625" style="1" customWidth="1"/>
  </cols>
  <sheetData>
    <row r="1" spans="1:13" s="3" customFormat="1" ht="15.75">
      <c r="A1" s="126" t="s">
        <v>226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3.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8" ht="56.25" customHeight="1">
      <c r="A3" s="156" t="s">
        <v>227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55"/>
      <c r="O3" s="155"/>
      <c r="P3" s="155"/>
      <c r="Q3" s="155"/>
      <c r="R3" s="155"/>
    </row>
    <row r="4" spans="1:18" ht="15">
      <c r="A4" s="156" t="s">
        <v>121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55"/>
      <c r="O4" s="155"/>
      <c r="P4" s="155"/>
      <c r="Q4" s="155"/>
      <c r="R4" s="155"/>
    </row>
    <row r="5" spans="1:18" ht="15">
      <c r="A5" s="159" t="s">
        <v>123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15">
      <c r="A6" s="159" t="s">
        <v>120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5">
      <c r="A7" s="159" t="s">
        <v>122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1:18" ht="15">
      <c r="A8" s="156" t="s">
        <v>27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55"/>
      <c r="O8" s="155"/>
      <c r="P8" s="155"/>
      <c r="Q8" s="155"/>
      <c r="R8" s="155"/>
    </row>
    <row r="9" spans="1:13" ht="15">
      <c r="A9" s="156" t="s">
        <v>28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ht="13.5">
      <c r="A10" s="2"/>
    </row>
    <row r="11" spans="1:18" ht="15">
      <c r="A11" s="151" t="s">
        <v>2</v>
      </c>
      <c r="B11" s="151" t="s">
        <v>0</v>
      </c>
      <c r="C11" s="151" t="s">
        <v>29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 t="s">
        <v>30</v>
      </c>
    </row>
    <row r="12" spans="1:18" ht="25.5" customHeight="1">
      <c r="A12" s="151"/>
      <c r="B12" s="151"/>
      <c r="C12" s="151" t="s">
        <v>31</v>
      </c>
      <c r="D12" s="151"/>
      <c r="E12" s="151"/>
      <c r="F12" s="151" t="s">
        <v>32</v>
      </c>
      <c r="G12" s="151"/>
      <c r="H12" s="151"/>
      <c r="I12" s="151" t="s">
        <v>33</v>
      </c>
      <c r="J12" s="151"/>
      <c r="K12" s="151"/>
      <c r="L12" s="151" t="s">
        <v>34</v>
      </c>
      <c r="M12" s="151"/>
      <c r="N12" s="151"/>
      <c r="O12" s="151" t="s">
        <v>35</v>
      </c>
      <c r="P12" s="151"/>
      <c r="Q12" s="151"/>
      <c r="R12" s="151"/>
    </row>
    <row r="13" spans="1:18" ht="51">
      <c r="A13" s="151"/>
      <c r="B13" s="151"/>
      <c r="C13" s="82" t="s">
        <v>3</v>
      </c>
      <c r="D13" s="82" t="s">
        <v>4</v>
      </c>
      <c r="E13" s="82" t="s">
        <v>5</v>
      </c>
      <c r="F13" s="82" t="s">
        <v>3</v>
      </c>
      <c r="G13" s="82" t="s">
        <v>4</v>
      </c>
      <c r="H13" s="82" t="s">
        <v>5</v>
      </c>
      <c r="I13" s="82" t="s">
        <v>3</v>
      </c>
      <c r="J13" s="82" t="s">
        <v>4</v>
      </c>
      <c r="K13" s="82" t="s">
        <v>36</v>
      </c>
      <c r="L13" s="82" t="s">
        <v>3</v>
      </c>
      <c r="M13" s="82" t="s">
        <v>4</v>
      </c>
      <c r="N13" s="82" t="s">
        <v>36</v>
      </c>
      <c r="O13" s="82" t="s">
        <v>3</v>
      </c>
      <c r="P13" s="82" t="s">
        <v>4</v>
      </c>
      <c r="Q13" s="82" t="s">
        <v>36</v>
      </c>
      <c r="R13" s="83"/>
    </row>
    <row r="14" spans="1:18" ht="13.5">
      <c r="A14" s="82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2">
        <v>14</v>
      </c>
      <c r="O14" s="82">
        <v>15</v>
      </c>
      <c r="P14" s="82">
        <v>16</v>
      </c>
      <c r="Q14" s="82">
        <v>17</v>
      </c>
      <c r="R14" s="82">
        <v>18</v>
      </c>
    </row>
    <row r="15" spans="1:18" ht="38.25">
      <c r="A15" s="6">
        <v>1</v>
      </c>
      <c r="B15" s="9" t="s">
        <v>37</v>
      </c>
      <c r="C15" s="18">
        <v>1</v>
      </c>
      <c r="D15" s="7">
        <v>3</v>
      </c>
      <c r="E15" s="7">
        <f>(D15-C15)/C15*100</f>
        <v>200</v>
      </c>
      <c r="F15" s="18">
        <v>5</v>
      </c>
      <c r="G15" s="7">
        <v>4</v>
      </c>
      <c r="H15" s="7">
        <f>(G15-F15)/F15*100</f>
        <v>-20</v>
      </c>
      <c r="I15" s="7">
        <v>1</v>
      </c>
      <c r="J15" s="7">
        <v>0</v>
      </c>
      <c r="K15" s="7">
        <f>(J15-I15)/I15*100</f>
        <v>-100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>D15+G15+J15+M15+P15</f>
        <v>7</v>
      </c>
    </row>
    <row r="16" spans="1:18" ht="63.75">
      <c r="A16" s="6">
        <v>2</v>
      </c>
      <c r="B16" s="8" t="s">
        <v>38</v>
      </c>
      <c r="C16" s="18">
        <v>1</v>
      </c>
      <c r="D16" s="7">
        <v>3</v>
      </c>
      <c r="E16" s="7">
        <f>(D16-C16)/C16*100</f>
        <v>200</v>
      </c>
      <c r="F16" s="18">
        <v>4</v>
      </c>
      <c r="G16" s="7">
        <v>4</v>
      </c>
      <c r="H16" s="7">
        <f>(G16-F16)/F16*100</f>
        <v>0</v>
      </c>
      <c r="I16" s="7">
        <v>1</v>
      </c>
      <c r="J16" s="7">
        <v>0</v>
      </c>
      <c r="K16" s="7">
        <f>(J16-I16)/I16*100</f>
        <v>-100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>D16+G16+J16+M16+P16</f>
        <v>7</v>
      </c>
    </row>
    <row r="17" spans="1:18" ht="102">
      <c r="A17" s="6">
        <v>3</v>
      </c>
      <c r="B17" s="8" t="s">
        <v>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>D17+G17+J17+M17+P17</f>
        <v>0</v>
      </c>
    </row>
    <row r="18" spans="1:18" ht="15">
      <c r="A18" s="10" t="s">
        <v>105</v>
      </c>
      <c r="B18" s="8" t="s">
        <v>40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>D18+G18+J18+M18+P18</f>
        <v>0</v>
      </c>
    </row>
    <row r="19" spans="1:18" ht="15">
      <c r="A19" s="10" t="s">
        <v>106</v>
      </c>
      <c r="B19" s="8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>D19+G19+J19+M19+P19</f>
        <v>0</v>
      </c>
    </row>
    <row r="20" spans="1:18" ht="63.75">
      <c r="A20" s="6">
        <v>4</v>
      </c>
      <c r="B20" s="8" t="s">
        <v>42</v>
      </c>
      <c r="C20" s="7">
        <v>4</v>
      </c>
      <c r="D20" s="7">
        <v>4</v>
      </c>
      <c r="E20" s="40">
        <f>(C20-D20)/D20*100</f>
        <v>0</v>
      </c>
      <c r="F20" s="7">
        <v>4</v>
      </c>
      <c r="G20" s="7">
        <v>4</v>
      </c>
      <c r="H20" s="7">
        <f>(G20-F20)/F20*100</f>
        <v>0</v>
      </c>
      <c r="I20" s="7">
        <v>4</v>
      </c>
      <c r="J20" s="7">
        <v>0</v>
      </c>
      <c r="K20" s="7">
        <f>(J20-I20)/I20*100</f>
        <v>-100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>D20+G20+J20+M20+P20</f>
        <v>8</v>
      </c>
    </row>
    <row r="21" spans="1:18" ht="51">
      <c r="A21" s="6">
        <v>5</v>
      </c>
      <c r="B21" s="8" t="s">
        <v>43</v>
      </c>
      <c r="C21" s="18">
        <v>1</v>
      </c>
      <c r="D21" s="7">
        <v>3</v>
      </c>
      <c r="E21" s="7">
        <f>(D21-C21)/C21*100</f>
        <v>200</v>
      </c>
      <c r="F21" s="7">
        <v>3</v>
      </c>
      <c r="G21" s="7">
        <v>4</v>
      </c>
      <c r="H21" s="40">
        <f>(G21-F21)/F21*100</f>
        <v>33.33333333333333</v>
      </c>
      <c r="I21" s="7">
        <v>1</v>
      </c>
      <c r="J21" s="7">
        <v>0</v>
      </c>
      <c r="K21" s="7">
        <f>(J21-I21)/I21*100</f>
        <v>-100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>D21+G21+J21+M21+P21</f>
        <v>7</v>
      </c>
    </row>
    <row r="22" spans="1:18" ht="51">
      <c r="A22" s="6">
        <v>6</v>
      </c>
      <c r="B22" s="8" t="s">
        <v>44</v>
      </c>
      <c r="C22" s="7">
        <v>1</v>
      </c>
      <c r="D22" s="7">
        <v>2</v>
      </c>
      <c r="E22" s="7">
        <f>(D22-C22)/C22*100</f>
        <v>100</v>
      </c>
      <c r="F22" s="7">
        <v>1</v>
      </c>
      <c r="G22" s="7">
        <v>4</v>
      </c>
      <c r="H22" s="7">
        <f>(G22-F22)/F22*100</f>
        <v>300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D22+G22+J22+M22+P22</f>
        <v>6</v>
      </c>
    </row>
    <row r="23" spans="1:18" ht="89.25">
      <c r="A23" s="6">
        <v>7</v>
      </c>
      <c r="B23" s="8" t="s">
        <v>45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D23+G23+J23+M23+P23</f>
        <v>0</v>
      </c>
    </row>
    <row r="24" spans="1:18" ht="15">
      <c r="A24" s="10" t="s">
        <v>114</v>
      </c>
      <c r="B24" s="8" t="s">
        <v>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>D24+G24+J24+M24+P24</f>
        <v>0</v>
      </c>
    </row>
    <row r="25" spans="1:18" ht="15">
      <c r="A25" s="10" t="s">
        <v>115</v>
      </c>
      <c r="B25" s="8" t="s">
        <v>46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>D25+G25+J25+M25+P25</f>
        <v>0</v>
      </c>
    </row>
    <row r="26" spans="1:18" ht="51">
      <c r="A26" s="6">
        <v>8</v>
      </c>
      <c r="B26" s="8" t="s">
        <v>47</v>
      </c>
      <c r="C26" s="7">
        <v>30</v>
      </c>
      <c r="D26" s="7">
        <v>30</v>
      </c>
      <c r="E26" s="7">
        <f>(C26-D26)/D26*100</f>
        <v>0</v>
      </c>
      <c r="F26" s="7">
        <v>60</v>
      </c>
      <c r="G26" s="7">
        <v>60</v>
      </c>
      <c r="H26" s="7">
        <f>(G26-F26)/F26*100</f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>D26+G26+J26+M26+P26</f>
        <v>90</v>
      </c>
    </row>
    <row r="27" ht="15">
      <c r="A27" s="2"/>
    </row>
    <row r="28" spans="1:18" ht="33.75" customHeight="1">
      <c r="A28" s="157" t="s">
        <v>48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  <row r="29" spans="1:18" ht="46.5" customHeight="1" thickBot="1">
      <c r="A29" s="147" t="s">
        <v>256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2:20" ht="15" customHeight="1">
      <c r="B30" s="153" t="s">
        <v>49</v>
      </c>
      <c r="C30" s="148"/>
      <c r="D30" s="149"/>
      <c r="E30" s="153">
        <v>15</v>
      </c>
      <c r="F30" s="148"/>
      <c r="G30" s="148">
        <v>150</v>
      </c>
      <c r="H30" s="148"/>
      <c r="I30" s="148">
        <v>250</v>
      </c>
      <c r="J30" s="148"/>
      <c r="K30" s="148">
        <v>670</v>
      </c>
      <c r="L30" s="149"/>
      <c r="M30" s="153">
        <v>15</v>
      </c>
      <c r="N30" s="148"/>
      <c r="O30" s="148">
        <v>150</v>
      </c>
      <c r="P30" s="148"/>
      <c r="Q30" s="148">
        <v>250</v>
      </c>
      <c r="R30" s="148"/>
      <c r="S30" s="148">
        <v>670</v>
      </c>
      <c r="T30" s="149"/>
    </row>
    <row r="31" spans="2:20" ht="15">
      <c r="B31" s="150" t="s">
        <v>50</v>
      </c>
      <c r="C31" s="151"/>
      <c r="D31" s="152"/>
      <c r="E31" s="84" t="s">
        <v>51</v>
      </c>
      <c r="F31" s="82" t="s">
        <v>52</v>
      </c>
      <c r="G31" s="82" t="s">
        <v>51</v>
      </c>
      <c r="H31" s="82" t="s">
        <v>52</v>
      </c>
      <c r="I31" s="82" t="s">
        <v>51</v>
      </c>
      <c r="J31" s="82" t="s">
        <v>52</v>
      </c>
      <c r="K31" s="82" t="s">
        <v>51</v>
      </c>
      <c r="L31" s="85" t="s">
        <v>52</v>
      </c>
      <c r="M31" s="84" t="s">
        <v>51</v>
      </c>
      <c r="N31" s="82" t="s">
        <v>52</v>
      </c>
      <c r="O31" s="82" t="s">
        <v>51</v>
      </c>
      <c r="P31" s="82" t="s">
        <v>52</v>
      </c>
      <c r="Q31" s="82" t="s">
        <v>51</v>
      </c>
      <c r="R31" s="82" t="s">
        <v>52</v>
      </c>
      <c r="S31" s="82" t="s">
        <v>51</v>
      </c>
      <c r="T31" s="85" t="s">
        <v>52</v>
      </c>
    </row>
    <row r="32" spans="2:20" ht="114.75">
      <c r="B32" s="84" t="s">
        <v>53</v>
      </c>
      <c r="C32" s="82" t="s">
        <v>54</v>
      </c>
      <c r="D32" s="85" t="s">
        <v>55</v>
      </c>
      <c r="E32" s="84" t="s">
        <v>232</v>
      </c>
      <c r="F32" s="82" t="s">
        <v>233</v>
      </c>
      <c r="G32" s="82" t="s">
        <v>232</v>
      </c>
      <c r="H32" s="82" t="s">
        <v>232</v>
      </c>
      <c r="I32" s="82" t="s">
        <v>232</v>
      </c>
      <c r="J32" s="82" t="s">
        <v>232</v>
      </c>
      <c r="K32" s="82" t="s">
        <v>232</v>
      </c>
      <c r="L32" s="85" t="s">
        <v>232</v>
      </c>
      <c r="M32" s="84" t="s">
        <v>232</v>
      </c>
      <c r="N32" s="82" t="s">
        <v>233</v>
      </c>
      <c r="O32" s="82" t="s">
        <v>232</v>
      </c>
      <c r="P32" s="82" t="s">
        <v>232</v>
      </c>
      <c r="Q32" s="82" t="s">
        <v>232</v>
      </c>
      <c r="R32" s="82" t="s">
        <v>232</v>
      </c>
      <c r="S32" s="82" t="s">
        <v>232</v>
      </c>
      <c r="T32" s="85" t="s">
        <v>232</v>
      </c>
    </row>
    <row r="33" spans="2:20" ht="15">
      <c r="B33" s="150" t="s">
        <v>240</v>
      </c>
      <c r="C33" s="151"/>
      <c r="D33" s="152"/>
      <c r="E33" s="150" t="s">
        <v>241</v>
      </c>
      <c r="F33" s="151"/>
      <c r="G33" s="151"/>
      <c r="H33" s="151"/>
      <c r="I33" s="151"/>
      <c r="J33" s="151"/>
      <c r="K33" s="151"/>
      <c r="L33" s="152"/>
      <c r="M33" s="150" t="s">
        <v>242</v>
      </c>
      <c r="N33" s="151"/>
      <c r="O33" s="151"/>
      <c r="P33" s="151"/>
      <c r="Q33" s="151"/>
      <c r="R33" s="151"/>
      <c r="S33" s="151"/>
      <c r="T33" s="152"/>
    </row>
    <row r="34" spans="2:20" ht="15">
      <c r="B34" s="164" t="s">
        <v>234</v>
      </c>
      <c r="C34" s="165" t="s">
        <v>56</v>
      </c>
      <c r="D34" s="41" t="s">
        <v>57</v>
      </c>
      <c r="E34" s="170">
        <f>26921.2*1.2</f>
        <v>32305.44</v>
      </c>
      <c r="F34" s="166">
        <v>550</v>
      </c>
      <c r="G34" s="168">
        <f>26921.2*1.2</f>
        <v>32305.44</v>
      </c>
      <c r="H34" s="168">
        <f>26921.2*1.2</f>
        <v>32305.44</v>
      </c>
      <c r="I34" s="62">
        <f>(26921.2+2*(4204843.44*0.3)+5352.11*250)</f>
        <v>3887854.7640000004</v>
      </c>
      <c r="J34" s="62">
        <f>26921.2+(4204843.44*0.3)+5352.11*250</f>
        <v>2626401.732</v>
      </c>
      <c r="K34" s="62">
        <f>26921.2+2*(4204843.44*0.3)+5352.11*670</f>
        <v>6135740.964</v>
      </c>
      <c r="L34" s="43">
        <f>26921.2+(4204843.44*0.3)+5352.11*670</f>
        <v>4874287.932</v>
      </c>
      <c r="M34" s="42">
        <f>(375.98)*15</f>
        <v>5639.700000000001</v>
      </c>
      <c r="N34" s="168">
        <v>550</v>
      </c>
      <c r="O34" s="62">
        <f>(375.98)*150</f>
        <v>56397</v>
      </c>
      <c r="P34" s="62">
        <f aca="true" t="shared" si="0" ref="P34:P41">(375.98)*150</f>
        <v>56397</v>
      </c>
      <c r="Q34" s="62">
        <f>(375.98+2*9105.9*0.3+5438.15)*250</f>
        <v>2819417.5</v>
      </c>
      <c r="R34" s="62">
        <f>(375.98+9105.9*0.3+5438.15)*250</f>
        <v>2136475</v>
      </c>
      <c r="S34" s="62">
        <f>(375.98+2*9105.9*0.3+5438.15)*670</f>
        <v>7556038.9</v>
      </c>
      <c r="T34" s="43">
        <f>(375.98+9105.9*0.3+5438.15)*670</f>
        <v>5725753</v>
      </c>
    </row>
    <row r="35" spans="2:20" ht="15">
      <c r="B35" s="164"/>
      <c r="C35" s="165"/>
      <c r="D35" s="41" t="s">
        <v>58</v>
      </c>
      <c r="E35" s="171"/>
      <c r="F35" s="167"/>
      <c r="G35" s="168"/>
      <c r="H35" s="168"/>
      <c r="I35" s="62">
        <f>(26921.2+2*(1049755.94*0.3)+5352.11*250)</f>
        <v>1994802.264</v>
      </c>
      <c r="J35" s="62">
        <f>26921.2+(1049755.94*0.3)+5352.11*250</f>
        <v>1679875.4819999998</v>
      </c>
      <c r="K35" s="62">
        <f>26921.2+2*(1049755*0.3)+5352.11*670</f>
        <v>4242687.899999999</v>
      </c>
      <c r="L35" s="43">
        <f>26921.2+(1049755*0.3)+5352.11*670</f>
        <v>3927761.4</v>
      </c>
      <c r="M35" s="42">
        <f>(375.98)*15</f>
        <v>5639.700000000001</v>
      </c>
      <c r="N35" s="172"/>
      <c r="O35" s="62">
        <f aca="true" t="shared" si="1" ref="O35:O41">(375.98)*150</f>
        <v>56397</v>
      </c>
      <c r="P35" s="62">
        <f t="shared" si="0"/>
        <v>56397</v>
      </c>
      <c r="Q35" s="62">
        <f>(375.98+2*2357.6*0.3+5438.15)*250</f>
        <v>1807172.5</v>
      </c>
      <c r="R35" s="62">
        <f>(375.98+2357.6*0.3+5438.15)*250</f>
        <v>1630352.5</v>
      </c>
      <c r="S35" s="62">
        <f>(375.98+2*2357.6*0.3+5438.15)*670</f>
        <v>4843222.3</v>
      </c>
      <c r="T35" s="43">
        <f>(375.98+2357.6*0.3+5438.15)*670</f>
        <v>4369344.7</v>
      </c>
    </row>
    <row r="36" spans="2:20" ht="15">
      <c r="B36" s="164"/>
      <c r="C36" s="165" t="s">
        <v>59</v>
      </c>
      <c r="D36" s="41" t="s">
        <v>57</v>
      </c>
      <c r="E36" s="170">
        <f>26921.2*1.2</f>
        <v>32305.44</v>
      </c>
      <c r="F36" s="166">
        <v>550</v>
      </c>
      <c r="G36" s="168">
        <f>26921.2*1.2</f>
        <v>32305.44</v>
      </c>
      <c r="H36" s="168">
        <f>26921.2*1.2</f>
        <v>32305.44</v>
      </c>
      <c r="I36" s="62">
        <f>26921.2+2*(4204843.44*0.3)</f>
        <v>2549827.2640000004</v>
      </c>
      <c r="J36" s="62">
        <f>26921.2+(4204843.44*0.3)</f>
        <v>1288374.232</v>
      </c>
      <c r="K36" s="62">
        <f>26921.2+2*(4204843.44*0.3)</f>
        <v>2549827.2640000004</v>
      </c>
      <c r="L36" s="43">
        <f>26921.2+(4204843.44*0.3)</f>
        <v>1288374.232</v>
      </c>
      <c r="M36" s="42">
        <f>(375.98)*15</f>
        <v>5639.700000000001</v>
      </c>
      <c r="N36" s="168">
        <v>550</v>
      </c>
      <c r="O36" s="62">
        <f t="shared" si="1"/>
        <v>56397</v>
      </c>
      <c r="P36" s="62">
        <f t="shared" si="0"/>
        <v>56397</v>
      </c>
      <c r="Q36" s="62">
        <f>(375.98+2*9105.9*0.3)*250</f>
        <v>1459880</v>
      </c>
      <c r="R36" s="62">
        <f>(375.98+9105.9*0.3)*250</f>
        <v>776937.5</v>
      </c>
      <c r="S36" s="62">
        <f>(375.98+2*9105.9*0.3)*670</f>
        <v>3912478.4000000004</v>
      </c>
      <c r="T36" s="43">
        <f>(375.98+9105.9*0.3)*670</f>
        <v>2082192.5</v>
      </c>
    </row>
    <row r="37" spans="2:20" ht="15">
      <c r="B37" s="164"/>
      <c r="C37" s="165"/>
      <c r="D37" s="41" t="s">
        <v>58</v>
      </c>
      <c r="E37" s="171"/>
      <c r="F37" s="166"/>
      <c r="G37" s="168"/>
      <c r="H37" s="168"/>
      <c r="I37" s="62">
        <f>26921.2+2*(1049755*0.3)</f>
        <v>656774.2</v>
      </c>
      <c r="J37" s="62">
        <f>26921.2+(1049755*0.3)</f>
        <v>341847.7</v>
      </c>
      <c r="K37" s="62">
        <f>26921.2+2*(1049755*0.3)</f>
        <v>656774.2</v>
      </c>
      <c r="L37" s="43">
        <f>26921.2+(1049755*0.3)</f>
        <v>341847.7</v>
      </c>
      <c r="M37" s="42">
        <f>(375.98)*15</f>
        <v>5639.700000000001</v>
      </c>
      <c r="N37" s="168"/>
      <c r="O37" s="62">
        <f t="shared" si="1"/>
        <v>56397</v>
      </c>
      <c r="P37" s="62">
        <f t="shared" si="0"/>
        <v>56397</v>
      </c>
      <c r="Q37" s="62">
        <f>(375.98+2*2357.6*0.3)*250</f>
        <v>447635</v>
      </c>
      <c r="R37" s="62">
        <f>(375.98+2357.6*0.3)*250</f>
        <v>270815</v>
      </c>
      <c r="S37" s="62">
        <f>(375.98+2*2357.6*0.3)*670</f>
        <v>1199661.8</v>
      </c>
      <c r="T37" s="43">
        <f>(375.98+2357.6*0.3)*670</f>
        <v>725784.2</v>
      </c>
    </row>
    <row r="38" spans="2:20" ht="15">
      <c r="B38" s="164" t="s">
        <v>235</v>
      </c>
      <c r="C38" s="165" t="s">
        <v>56</v>
      </c>
      <c r="D38" s="41" t="s">
        <v>57</v>
      </c>
      <c r="E38" s="170">
        <f>26921.2*1.2</f>
        <v>32305.44</v>
      </c>
      <c r="F38" s="166">
        <v>550</v>
      </c>
      <c r="G38" s="168">
        <f>26921.2*1.2</f>
        <v>32305.44</v>
      </c>
      <c r="H38" s="168">
        <f>26921.2*1.2</f>
        <v>32305.44</v>
      </c>
      <c r="I38" s="62">
        <f>26921.2+2*(4204843.44*0.5)+5352.11*250</f>
        <v>5569792.140000001</v>
      </c>
      <c r="J38" s="62">
        <f>26921.2+(4204843.44*0.5)+5352.11*250</f>
        <v>3467370.4200000004</v>
      </c>
      <c r="K38" s="62">
        <f>26921.2+2*(4204843.44*0.5)+5352.11*670</f>
        <v>7817678.34</v>
      </c>
      <c r="L38" s="43">
        <f>26921.2+(4204843.44*0.5)+5352.11*670</f>
        <v>5715256.62</v>
      </c>
      <c r="M38" s="42">
        <f>(375.98)*15</f>
        <v>5639.700000000001</v>
      </c>
      <c r="N38" s="168">
        <v>550</v>
      </c>
      <c r="O38" s="62">
        <f t="shared" si="1"/>
        <v>56397</v>
      </c>
      <c r="P38" s="62">
        <f t="shared" si="0"/>
        <v>56397</v>
      </c>
      <c r="Q38" s="62">
        <f>(375.98+2*14006.07*0.5+3757.9)*250</f>
        <v>4534987.5</v>
      </c>
      <c r="R38" s="62">
        <f>(375.98+14006.07*0.5+3757.9)*250</f>
        <v>2784228.7499999995</v>
      </c>
      <c r="S38" s="62">
        <f>(375.98+2*14006.07*0.5+3757.9)*650</f>
        <v>11790967.5</v>
      </c>
      <c r="T38" s="43">
        <f>(375.98+14006.07*0.5+3757.9)*670</f>
        <v>7461733.05</v>
      </c>
    </row>
    <row r="39" spans="2:20" ht="15">
      <c r="B39" s="164"/>
      <c r="C39" s="165"/>
      <c r="D39" s="41" t="s">
        <v>58</v>
      </c>
      <c r="E39" s="171"/>
      <c r="F39" s="166"/>
      <c r="G39" s="168"/>
      <c r="H39" s="168"/>
      <c r="I39" s="62">
        <f>26921.2+2*(1049755.94*0.5)+5352.11*250</f>
        <v>2414704.6399999997</v>
      </c>
      <c r="J39" s="62">
        <f>26921.2+(1049755.94*0.5)+5352.11*250</f>
        <v>1889826.67</v>
      </c>
      <c r="K39" s="62">
        <f>26921.2+2*(1049755.94*0.5)+5352.11*670</f>
        <v>4662590.84</v>
      </c>
      <c r="L39" s="43">
        <f>26921.2+(1049755.94*0.5)+5352.11*670</f>
        <v>4137712.8699999996</v>
      </c>
      <c r="M39" s="42">
        <f>(375.98)*15</f>
        <v>5639.700000000001</v>
      </c>
      <c r="N39" s="168"/>
      <c r="O39" s="62">
        <f t="shared" si="1"/>
        <v>56397</v>
      </c>
      <c r="P39" s="62">
        <f t="shared" si="0"/>
        <v>56397</v>
      </c>
      <c r="Q39" s="62">
        <f>(375.98+2*10046.6*0.5+3757.9)*250</f>
        <v>3545120</v>
      </c>
      <c r="R39" s="62">
        <f>(375.98+10046.6*0.5+3757.9)*250</f>
        <v>2289295</v>
      </c>
      <c r="S39" s="62">
        <f>(375.98+2*10046.6*0.5+3757.9)*670</f>
        <v>9500921.6</v>
      </c>
      <c r="T39" s="43">
        <f>(375.98+10046.6*0.5+3757.9)*670</f>
        <v>6135310.600000001</v>
      </c>
    </row>
    <row r="40" spans="2:20" ht="15">
      <c r="B40" s="164"/>
      <c r="C40" s="165" t="s">
        <v>59</v>
      </c>
      <c r="D40" s="41" t="s">
        <v>57</v>
      </c>
      <c r="E40" s="170">
        <f>26921.2*1.2</f>
        <v>32305.44</v>
      </c>
      <c r="F40" s="166">
        <v>550</v>
      </c>
      <c r="G40" s="168">
        <f>26921.2*1.2</f>
        <v>32305.44</v>
      </c>
      <c r="H40" s="168">
        <f>26921.2*1.2</f>
        <v>32305.44</v>
      </c>
      <c r="I40" s="62">
        <f>26921.2+2*(4204843.44*0.5)</f>
        <v>4231764.640000001</v>
      </c>
      <c r="J40" s="62">
        <f>26921.2+(4204843.44*0.5)</f>
        <v>2129342.9200000004</v>
      </c>
      <c r="K40" s="62">
        <f>26921.2+2*(4204843.44*0.5)</f>
        <v>4231764.640000001</v>
      </c>
      <c r="L40" s="43">
        <f>26921.2+(4204843.44*0.5)</f>
        <v>2129342.9200000004</v>
      </c>
      <c r="M40" s="42">
        <f>(375.98)*15</f>
        <v>5639.700000000001</v>
      </c>
      <c r="N40" s="168">
        <v>550</v>
      </c>
      <c r="O40" s="62">
        <f t="shared" si="1"/>
        <v>56397</v>
      </c>
      <c r="P40" s="62">
        <f t="shared" si="0"/>
        <v>56397</v>
      </c>
      <c r="Q40" s="62">
        <f>(375.98+2*14006.07*0.5)*250</f>
        <v>3595512.5</v>
      </c>
      <c r="R40" s="62">
        <f>(375.98+14006.07*0.5)*250</f>
        <v>1844753.7499999998</v>
      </c>
      <c r="S40" s="62">
        <f>(375.98+2*14006.07*0.5)*670</f>
        <v>9635973.5</v>
      </c>
      <c r="T40" s="43">
        <f>(375.98+14006.07*0.5)*670</f>
        <v>4943940.05</v>
      </c>
    </row>
    <row r="41" spans="2:20" ht="15">
      <c r="B41" s="164"/>
      <c r="C41" s="165"/>
      <c r="D41" s="41" t="s">
        <v>58</v>
      </c>
      <c r="E41" s="171"/>
      <c r="F41" s="166"/>
      <c r="G41" s="168"/>
      <c r="H41" s="168"/>
      <c r="I41" s="62">
        <f>26921.2+2*(1049755.94*0.5)</f>
        <v>1076677.14</v>
      </c>
      <c r="J41" s="62">
        <f>26921.2+(1049755.94*0.5)</f>
        <v>551799.1699999999</v>
      </c>
      <c r="K41" s="62">
        <f>26921.2+2*(1049755.94*0.5)</f>
        <v>1076677.14</v>
      </c>
      <c r="L41" s="43">
        <f>26921.2+(1049755.94*0.5)</f>
        <v>551799.1699999999</v>
      </c>
      <c r="M41" s="42">
        <f>(375.98)*15</f>
        <v>5639.700000000001</v>
      </c>
      <c r="N41" s="168"/>
      <c r="O41" s="62">
        <f t="shared" si="1"/>
        <v>56397</v>
      </c>
      <c r="P41" s="62">
        <f t="shared" si="0"/>
        <v>56397</v>
      </c>
      <c r="Q41" s="62">
        <f>(375.98+2*10046.6*0.5)*250</f>
        <v>2605645</v>
      </c>
      <c r="R41" s="62">
        <f>(375.98+10046.6*0.5)*250</f>
        <v>1349820.0000000002</v>
      </c>
      <c r="S41" s="62">
        <f>(375.98+2*10046.6*0.5)*670</f>
        <v>6983128.6</v>
      </c>
      <c r="T41" s="43">
        <f>(375.98+10046.6*0.5)*670</f>
        <v>3617517.6000000006</v>
      </c>
    </row>
    <row r="42" spans="2:20" ht="15">
      <c r="B42" s="160">
        <v>750</v>
      </c>
      <c r="C42" s="162" t="s">
        <v>56</v>
      </c>
      <c r="D42" s="44" t="s">
        <v>57</v>
      </c>
      <c r="E42" s="45">
        <f>26921.2+2*(4204843.44*0.75)+5352.11*15</f>
        <v>6414468.010000001</v>
      </c>
      <c r="F42" s="46">
        <f>26921.2+(4204843.44*0.75)+5352.11*15</f>
        <v>3260835.43</v>
      </c>
      <c r="G42" s="46">
        <f>26921.2+2*(4204843.44*0.75)+5352.11*150</f>
        <v>7137002.86</v>
      </c>
      <c r="H42" s="46">
        <f>26921.2+(4204843.44*0.75)+5352.11*150</f>
        <v>3983370.2800000003</v>
      </c>
      <c r="I42" s="46">
        <f>26921.2+2*(4204843.44*0.75)+5352.11*250</f>
        <v>7672213.86</v>
      </c>
      <c r="J42" s="46">
        <f>26921.2+(4204843.44*0.75)+5352.11*250</f>
        <v>4518581.28</v>
      </c>
      <c r="K42" s="46">
        <f>26921.2+2*(4204843.44*0.75)+5352.11*670</f>
        <v>9920100.06</v>
      </c>
      <c r="L42" s="47">
        <f>26921.2+(4204843.44*0.75)+5352.11*670</f>
        <v>6766467.48</v>
      </c>
      <c r="M42" s="45">
        <f>375.98*15+2*(4204843.44*0.75)+5352.11*15</f>
        <v>6393186.510000001</v>
      </c>
      <c r="N42" s="46">
        <f>375.98*15+(4204843.44*0.75)+5352.11*15</f>
        <v>3239553.93</v>
      </c>
      <c r="O42" s="46">
        <f>375.98*150+2*(4204843.44*0.75)+5352.11*150</f>
        <v>7166478.66</v>
      </c>
      <c r="P42" s="46">
        <f>375.98*150+(4204843.44*0.75)+5352.11*150</f>
        <v>4012846.08</v>
      </c>
      <c r="Q42" s="46">
        <f>375.98*250+2*(4204843.44*0.75)+5352.11*250</f>
        <v>7739287.66</v>
      </c>
      <c r="R42" s="46">
        <f>375.98*250+(4204843.44*0.75)+5352.11*250</f>
        <v>4585655.08</v>
      </c>
      <c r="S42" s="46">
        <f>375.98*670+2*(4204843.44*0.75)+5352.11*670</f>
        <v>10145085.459999999</v>
      </c>
      <c r="T42" s="47">
        <f>375.98*670+(4204843.44*0.75)+5352.11*670</f>
        <v>6991452.88</v>
      </c>
    </row>
    <row r="43" spans="2:20" ht="15">
      <c r="B43" s="160"/>
      <c r="C43" s="162"/>
      <c r="D43" s="44" t="s">
        <v>58</v>
      </c>
      <c r="E43" s="45">
        <f>26921.2+2*(1049755.94*0.75)+5352.11*15</f>
        <v>1681836.7599999998</v>
      </c>
      <c r="F43" s="46">
        <f>26921.2+(1049755.94*0.75)+5352.11*15</f>
        <v>894519.8049999999</v>
      </c>
      <c r="G43" s="46">
        <f>26921.2+2*(1049755.94*0.75)+5352.11*150</f>
        <v>2404371.61</v>
      </c>
      <c r="H43" s="46">
        <f>26921.2+(1049755.94*0.75)+5352.11*150</f>
        <v>1617054.6549999998</v>
      </c>
      <c r="I43" s="46">
        <f>26921.2+2*(1049755.94*0.75)+5352.11*250</f>
        <v>2939582.61</v>
      </c>
      <c r="J43" s="46">
        <f>26921.2+(1049755.94*0.75)+5352.11*250</f>
        <v>2152265.655</v>
      </c>
      <c r="K43" s="46">
        <f>26921.2+2*(1049755.94*0.75)+5352.11*670</f>
        <v>5187468.81</v>
      </c>
      <c r="L43" s="47">
        <f>26921.2+(1049755.94*0.75)+5352.11*670</f>
        <v>4400151.8549999995</v>
      </c>
      <c r="M43" s="45">
        <f>375.98*15+2*(1049755.94*0.75)+5352.11*15</f>
        <v>1660555.2599999998</v>
      </c>
      <c r="N43" s="46">
        <f>375.98*15+(1049755.94*0.75)+5352.11*15</f>
        <v>873238.3049999999</v>
      </c>
      <c r="O43" s="46">
        <f>375.98*150+2*(1049755.94*0.75)+5352.11*150</f>
        <v>2433847.41</v>
      </c>
      <c r="P43" s="46">
        <f>375.98*150+(1049755.94*0.75)+5352.11*150</f>
        <v>1646530.455</v>
      </c>
      <c r="Q43" s="46">
        <f>375.98*250+2*(1049755.94*0.75)+5352.11*250</f>
        <v>3006656.41</v>
      </c>
      <c r="R43" s="46">
        <f>375.98*250+(1049755.94*0.75)+5352.11*250</f>
        <v>2219339.455</v>
      </c>
      <c r="S43" s="46">
        <f>375.98*670+2*(1049755.94*0.75)+5352.11*670</f>
        <v>5412454.21</v>
      </c>
      <c r="T43" s="47">
        <f>375.98*670+(1049755.94*0.75)+5352.11*670</f>
        <v>4625137.255</v>
      </c>
    </row>
    <row r="44" spans="2:20" ht="15">
      <c r="B44" s="160"/>
      <c r="C44" s="162" t="s">
        <v>59</v>
      </c>
      <c r="D44" s="44" t="s">
        <v>57</v>
      </c>
      <c r="E44" s="45">
        <f>26921.2+2*(4204843.44*0.75)</f>
        <v>6334186.36</v>
      </c>
      <c r="F44" s="46">
        <f>26921.2+(4204843.44*0.75)</f>
        <v>3180553.7800000003</v>
      </c>
      <c r="G44" s="46">
        <f>26921.2+2*(4204843.44*0.75)</f>
        <v>6334186.36</v>
      </c>
      <c r="H44" s="46">
        <f>26921.2+(4204843.44*0.75)</f>
        <v>3180553.7800000003</v>
      </c>
      <c r="I44" s="46">
        <f>26921.2+2*(4204843.44*0.75)</f>
        <v>6334186.36</v>
      </c>
      <c r="J44" s="46">
        <f>26921.2+(4204843.44*0.75)</f>
        <v>3180553.7800000003</v>
      </c>
      <c r="K44" s="46">
        <f>26921.2+2*(4204843.44*0.75)</f>
        <v>6334186.36</v>
      </c>
      <c r="L44" s="47">
        <f>26921.2+(4204843.44*0.75)</f>
        <v>3180553.7800000003</v>
      </c>
      <c r="M44" s="45">
        <f>375.98*15+2*(4204843.44*0.75)</f>
        <v>6312904.86</v>
      </c>
      <c r="N44" s="46">
        <f>375.98*15+(4204843.44*0.75)</f>
        <v>3159272.2800000003</v>
      </c>
      <c r="O44" s="46">
        <f>375.98*150+2*(4204843.44*0.75)</f>
        <v>6363662.16</v>
      </c>
      <c r="P44" s="46">
        <f>375.98*150+(4204843.44*0.75)</f>
        <v>3210029.58</v>
      </c>
      <c r="Q44" s="46">
        <f>375.98*250+2*(4204843.44*0.75)</f>
        <v>6401260.16</v>
      </c>
      <c r="R44" s="46">
        <f>375.98*250+(4204843.44*0.75)</f>
        <v>3247627.58</v>
      </c>
      <c r="S44" s="46">
        <f>375.98*670+2*(4204843.44*0.75)</f>
        <v>6559171.76</v>
      </c>
      <c r="T44" s="47">
        <f>375.98*670+(4204843.44*0.75)</f>
        <v>3405539.18</v>
      </c>
    </row>
    <row r="45" spans="2:20" ht="15">
      <c r="B45" s="160"/>
      <c r="C45" s="162"/>
      <c r="D45" s="44" t="s">
        <v>58</v>
      </c>
      <c r="E45" s="45">
        <f>26921.2+2*(1049755.94*0.75)</f>
        <v>1601555.1099999999</v>
      </c>
      <c r="F45" s="46">
        <f>26921.2+(1049755.94*0.75)</f>
        <v>814238.1549999999</v>
      </c>
      <c r="G45" s="46">
        <f>26921.2+2*(1049755.94*0.75)</f>
        <v>1601555.1099999999</v>
      </c>
      <c r="H45" s="46">
        <f>26921.2+(1049755.94*0.75)</f>
        <v>814238.1549999999</v>
      </c>
      <c r="I45" s="46">
        <f>26921.2+2*(1049755.94*0.75)</f>
        <v>1601555.1099999999</v>
      </c>
      <c r="J45" s="46">
        <f>26921.2+(1049755.94*0.75)</f>
        <v>814238.1549999999</v>
      </c>
      <c r="K45" s="46">
        <f>26921.2+2*(1049755.94*0.75)</f>
        <v>1601555.1099999999</v>
      </c>
      <c r="L45" s="47">
        <f>26921.2+(1049755.94*0.75)</f>
        <v>814238.1549999999</v>
      </c>
      <c r="M45" s="45">
        <f>375.98*15+2*(1049755.94*0.75)</f>
        <v>1580273.6099999999</v>
      </c>
      <c r="N45" s="46">
        <f>375.98*15+(1049755.94*0.75)</f>
        <v>792956.6549999999</v>
      </c>
      <c r="O45" s="46">
        <f>375.98*150+2*(1049755.94*0.75)</f>
        <v>1631030.91</v>
      </c>
      <c r="P45" s="46">
        <f>375.98*150+(1049755.94*0.75)</f>
        <v>843713.955</v>
      </c>
      <c r="Q45" s="46">
        <f>375.98*250+2*(1049755.94*0.75)</f>
        <v>1668628.91</v>
      </c>
      <c r="R45" s="46">
        <f>375.98*250+(1049755.94*0.75)</f>
        <v>881311.955</v>
      </c>
      <c r="S45" s="46">
        <f>375.98*670+2*(1049755.94*0.75)</f>
        <v>1826540.51</v>
      </c>
      <c r="T45" s="47">
        <f>375.98*670+(1049755.94*0.75)</f>
        <v>1039223.5549999999</v>
      </c>
    </row>
    <row r="46" spans="2:20" ht="15">
      <c r="B46" s="160">
        <v>1000</v>
      </c>
      <c r="C46" s="162" t="s">
        <v>56</v>
      </c>
      <c r="D46" s="44" t="s">
        <v>57</v>
      </c>
      <c r="E46" s="45">
        <f>26921.2+2*(4204843.44*1)+5352.11*15</f>
        <v>8516889.73</v>
      </c>
      <c r="F46" s="46">
        <f>26921.2+(4204843.44*1)+5352.11*15</f>
        <v>4312046.290000001</v>
      </c>
      <c r="G46" s="46">
        <f>26921.2+2*(4204843.44*1)+5352.11*150</f>
        <v>9239424.58</v>
      </c>
      <c r="H46" s="46">
        <f>26921.2+(4204843.44*1)+5352.11*150</f>
        <v>5034581.140000001</v>
      </c>
      <c r="I46" s="46">
        <f>26921.2+2*(4204843.44*1)+5352.11*250</f>
        <v>9774635.58</v>
      </c>
      <c r="J46" s="46">
        <f>26921.2+(4204843.44*1)+5352.11*250</f>
        <v>5569792.140000001</v>
      </c>
      <c r="K46" s="46">
        <f>26921.2+2*(4204843.44*1)+5352.11*670</f>
        <v>12022521.78</v>
      </c>
      <c r="L46" s="47">
        <f>26921.2+(4204843.44*1)+5352.11*670</f>
        <v>7817678.34</v>
      </c>
      <c r="M46" s="45">
        <f>375.98*15+2*(4204843.44*1)+5352.11*15</f>
        <v>8495608.23</v>
      </c>
      <c r="N46" s="46">
        <f>375.98*15+(4204843.44*1)+5352.11*15</f>
        <v>4290764.790000001</v>
      </c>
      <c r="O46" s="46">
        <f>375.98*150+2*(4204843.44*1)+5352.11*150</f>
        <v>9268900.38</v>
      </c>
      <c r="P46" s="46">
        <f>375.98*150+(4204843.44*1)+5352.11*150</f>
        <v>5064056.94</v>
      </c>
      <c r="Q46" s="46">
        <f>375.98*250+2*(4204843.44*1)+5352.11*250</f>
        <v>9841709.38</v>
      </c>
      <c r="R46" s="46">
        <f>375.98*250+(4204843.44*1)+5352.11*250</f>
        <v>5636865.94</v>
      </c>
      <c r="S46" s="46">
        <f>375.98*670+2*(4204843.44*1)+5352.11*670</f>
        <v>12247507.18</v>
      </c>
      <c r="T46" s="47">
        <f>375.98*670+(4204843.44*1)+5352.11*670</f>
        <v>8042663.74</v>
      </c>
    </row>
    <row r="47" spans="2:20" ht="15">
      <c r="B47" s="160"/>
      <c r="C47" s="162"/>
      <c r="D47" s="44" t="s">
        <v>58</v>
      </c>
      <c r="E47" s="45">
        <f>26921.2+2*(1049755.94*1)+5352.11*15</f>
        <v>2206714.73</v>
      </c>
      <c r="F47" s="46">
        <f>26921.2+(1049755.94*1)+5352.11*15</f>
        <v>1156958.7899999998</v>
      </c>
      <c r="G47" s="46">
        <f>26921.2+2*(1049755.94*1)+5352.11*150</f>
        <v>2929249.58</v>
      </c>
      <c r="H47" s="46">
        <f>26921.2+(1049755.94*1)+5352.11*150</f>
        <v>1879493.64</v>
      </c>
      <c r="I47" s="46">
        <f>26921.2+2*(1049755.94*1)+5352.11*250</f>
        <v>3464460.58</v>
      </c>
      <c r="J47" s="46">
        <f>26921.2+(1049755.94*1)+5352.11*250</f>
        <v>2414704.6399999997</v>
      </c>
      <c r="K47" s="46">
        <f>26921.2+2*(1049755.94*1)+5352.11*670</f>
        <v>5712346.779999999</v>
      </c>
      <c r="L47" s="47">
        <f>26921.2+(1049755.94*1)+5352.11*670</f>
        <v>4662590.84</v>
      </c>
      <c r="M47" s="45">
        <f>375.98*15+2*(1049755.94*1)+5352.11*15</f>
        <v>2185433.23</v>
      </c>
      <c r="N47" s="46">
        <f>375.98*15+(1049755.94*1)+5352.11*15</f>
        <v>1135677.2899999998</v>
      </c>
      <c r="O47" s="46">
        <f>375.98*150+2*(1049755.94*1)+5352.11*150</f>
        <v>2958725.38</v>
      </c>
      <c r="P47" s="46">
        <f>375.98*150+(1049755.94*1)+5352.11*150</f>
        <v>1908969.44</v>
      </c>
      <c r="Q47" s="46">
        <f>375.98*250+2*(1049755.94*1)+5352.11*250</f>
        <v>3531534.38</v>
      </c>
      <c r="R47" s="46">
        <f>375.98*250+(1049755.94*1)+5352.11*250</f>
        <v>2481778.44</v>
      </c>
      <c r="S47" s="46">
        <f>375.98*670+2*(1049755.94*1)+5352.11*670</f>
        <v>5937332.18</v>
      </c>
      <c r="T47" s="47">
        <f>375.98*670+(1049755.94*1)+5352.11*670</f>
        <v>4887576.24</v>
      </c>
    </row>
    <row r="48" spans="2:20" ht="15">
      <c r="B48" s="160"/>
      <c r="C48" s="162" t="s">
        <v>59</v>
      </c>
      <c r="D48" s="44" t="s">
        <v>57</v>
      </c>
      <c r="E48" s="45">
        <f>26921.2+2*(4204843.44*1)</f>
        <v>8436608.08</v>
      </c>
      <c r="F48" s="46">
        <f>26921.2+(4204843.44*1)</f>
        <v>4231764.640000001</v>
      </c>
      <c r="G48" s="46">
        <f>26921.2+2*(4204843.44*1)</f>
        <v>8436608.08</v>
      </c>
      <c r="H48" s="46">
        <f>26921.2+(4204843.44*1)</f>
        <v>4231764.640000001</v>
      </c>
      <c r="I48" s="46">
        <f>26921.2+2*(4204843.44*1)</f>
        <v>8436608.08</v>
      </c>
      <c r="J48" s="46">
        <f>26921.2+(4204843.44*1)</f>
        <v>4231764.640000001</v>
      </c>
      <c r="K48" s="46">
        <f>26921.2+2*(4204843.44*1)</f>
        <v>8436608.08</v>
      </c>
      <c r="L48" s="47">
        <f>26921.2+(4204843.44*1)</f>
        <v>4231764.640000001</v>
      </c>
      <c r="M48" s="45">
        <f>375.98*15+2*(4204843.44*1)</f>
        <v>8415326.58</v>
      </c>
      <c r="N48" s="46">
        <f>375.98*15+(4204843.44*1)</f>
        <v>4210483.140000001</v>
      </c>
      <c r="O48" s="46">
        <f>375.98*150+2*(4204843.44*1)</f>
        <v>8466083.88</v>
      </c>
      <c r="P48" s="46">
        <f>375.98*150+(4204843.44*1)</f>
        <v>4261240.44</v>
      </c>
      <c r="Q48" s="46">
        <f>375.98*250+2*(4204843.44*1)</f>
        <v>8503681.88</v>
      </c>
      <c r="R48" s="46">
        <f>375.98*250+(4204843.44*1)</f>
        <v>4298838.44</v>
      </c>
      <c r="S48" s="46">
        <f>375.98*670+2*(4204843.44*1)</f>
        <v>8661593.48</v>
      </c>
      <c r="T48" s="47">
        <f>375.98*670+(4204843.44*1)</f>
        <v>4456750.04</v>
      </c>
    </row>
    <row r="49" spans="2:20" ht="15">
      <c r="B49" s="160"/>
      <c r="C49" s="162"/>
      <c r="D49" s="44" t="s">
        <v>58</v>
      </c>
      <c r="E49" s="45">
        <f>26921.2+2*(1049755.94*1)</f>
        <v>2126433.08</v>
      </c>
      <c r="F49" s="46">
        <f>26921.2+(1049755.94*1)</f>
        <v>1076677.14</v>
      </c>
      <c r="G49" s="46">
        <f>26921.2+2*(1049755.94*1)</f>
        <v>2126433.08</v>
      </c>
      <c r="H49" s="46">
        <f>26921.2+(1049755.94*1)</f>
        <v>1076677.14</v>
      </c>
      <c r="I49" s="46">
        <f>26921.2+2*(1049755.94*1)</f>
        <v>2126433.08</v>
      </c>
      <c r="J49" s="46">
        <f>26921.2+(1049755.94*1)</f>
        <v>1076677.14</v>
      </c>
      <c r="K49" s="46">
        <f>26921.2+2*(1049755.94*1)</f>
        <v>2126433.08</v>
      </c>
      <c r="L49" s="47">
        <f>26921.2+(1049755.94*1)</f>
        <v>1076677.14</v>
      </c>
      <c r="M49" s="45">
        <f>375.98*15+2*(1049755.94*1)</f>
        <v>2105151.58</v>
      </c>
      <c r="N49" s="46">
        <f>375.98*15+(1049755.94*1)</f>
        <v>1055395.64</v>
      </c>
      <c r="O49" s="46">
        <f>375.98*150+2*(1049755.94*1)</f>
        <v>2155908.88</v>
      </c>
      <c r="P49" s="46">
        <f>375.98*150+(1049755.94*1)</f>
        <v>1106152.94</v>
      </c>
      <c r="Q49" s="46">
        <f>375.98*250+2*(1049755.94*1)</f>
        <v>2193506.88</v>
      </c>
      <c r="R49" s="46">
        <f>375.98*250+(1049755.94*1)</f>
        <v>1143750.94</v>
      </c>
      <c r="S49" s="46">
        <f>375.98*670+2*(1049755.94*1)</f>
        <v>2351418.48</v>
      </c>
      <c r="T49" s="47">
        <f>375.98*670+(1049755.94*1)</f>
        <v>1301662.54</v>
      </c>
    </row>
    <row r="50" spans="2:20" ht="15">
      <c r="B50" s="160">
        <v>1250</v>
      </c>
      <c r="C50" s="162" t="s">
        <v>56</v>
      </c>
      <c r="D50" s="44" t="s">
        <v>57</v>
      </c>
      <c r="E50" s="45">
        <f>26921.2+2*(4204843.44*1.25)+5352.11*15</f>
        <v>10619311.450000001</v>
      </c>
      <c r="F50" s="46">
        <f>26921.2+(4204843.44*1.25)+5352.11*15</f>
        <v>5363257.150000001</v>
      </c>
      <c r="G50" s="46">
        <f>26921.2+2*(4204843.44*1.25)+5352.11*150</f>
        <v>11341846.3</v>
      </c>
      <c r="H50" s="46">
        <f>26921.2+(4204843.44*1.25)+5352.11*150</f>
        <v>6085792.000000001</v>
      </c>
      <c r="I50" s="46">
        <f>26921.2+2*(4204843.44*1.25)+5352.11*250</f>
        <v>11877057.3</v>
      </c>
      <c r="J50" s="46">
        <f>26921.2+(4204843.44*1.25)+5352.11*250</f>
        <v>6621003.000000001</v>
      </c>
      <c r="K50" s="46">
        <f>26921.2+2*(4204843.44*1.25)+5352.11*670</f>
        <v>14124943.5</v>
      </c>
      <c r="L50" s="47">
        <f>26921.2+(4204843.44*1.25)+5352.11*670</f>
        <v>8868889.200000001</v>
      </c>
      <c r="M50" s="45">
        <f>375.98*15+2*(4204843.44*1.25)+5352.11*15</f>
        <v>10598029.950000001</v>
      </c>
      <c r="N50" s="46">
        <f>375.98*15+(4204843.44*1.25)+5352.11*15</f>
        <v>5341975.650000001</v>
      </c>
      <c r="O50" s="46">
        <f>375.98*150+2*(4204843.44*1.25)+5352.11*150</f>
        <v>11371322.100000001</v>
      </c>
      <c r="P50" s="46">
        <f>375.98*150+(4204843.44*1.25)+5352.11*150</f>
        <v>6115267.800000001</v>
      </c>
      <c r="Q50" s="46">
        <f>375.98*250+2*(4204843.44*1.25)+5352.11*250</f>
        <v>11944131.100000001</v>
      </c>
      <c r="R50" s="46">
        <f>375.98*250+(4204843.44*1.25)+5352.11*250</f>
        <v>6688076.800000001</v>
      </c>
      <c r="S50" s="46">
        <f>375.98*670+2*(4204843.44*1.25)+5352.11*670</f>
        <v>14349928.9</v>
      </c>
      <c r="T50" s="47">
        <f>375.98*670+(4204843.44*1.25)+5352.11*670</f>
        <v>9093874.6</v>
      </c>
    </row>
    <row r="51" spans="2:20" ht="15">
      <c r="B51" s="160"/>
      <c r="C51" s="162"/>
      <c r="D51" s="44" t="s">
        <v>58</v>
      </c>
      <c r="E51" s="45">
        <f>26921.2+2*(1049755.94*1.25)+5352.11*15</f>
        <v>2731592.6999999997</v>
      </c>
      <c r="F51" s="46">
        <f>26921.2+(1049755.94*1.25)+5352.11*15</f>
        <v>1419397.7749999997</v>
      </c>
      <c r="G51" s="46">
        <f>26921.2+2*(1049755.94*1.25)+5352.11*150</f>
        <v>3454127.55</v>
      </c>
      <c r="H51" s="46">
        <f>26921.2+(1049755.94*1.25)+5352.11*150</f>
        <v>2141932.625</v>
      </c>
      <c r="I51" s="46">
        <f>26921.2+2*(1049755.94*1.25)+5352.11*250</f>
        <v>3989338.55</v>
      </c>
      <c r="J51" s="46">
        <f>26921.2+(1049755.94*1.25)+5352.11*250</f>
        <v>2677143.625</v>
      </c>
      <c r="K51" s="46">
        <f>26921.2+2*(1049755.94*1.25)+5352.11*670</f>
        <v>6237224.75</v>
      </c>
      <c r="L51" s="47">
        <f>26921.2+(1049755.94*1.25)+5352.11*670</f>
        <v>4925029.824999999</v>
      </c>
      <c r="M51" s="45">
        <f>375.98*15+2*(1049755.94*1.25)+5352.11*15</f>
        <v>2710311.1999999997</v>
      </c>
      <c r="N51" s="46">
        <f>375.98*15+(1049755.94*1.25)+5352.11*15</f>
        <v>1398116.2749999997</v>
      </c>
      <c r="O51" s="46">
        <f>375.98*150+2*(1049755.94*1.25)+5352.11*150</f>
        <v>3483603.3499999996</v>
      </c>
      <c r="P51" s="46">
        <f>375.98*150+(1049755.94*1.25)+5352.11*150</f>
        <v>2171408.425</v>
      </c>
      <c r="Q51" s="46">
        <f>375.98*250+2*(1049755.94*1.25)+5352.11*250</f>
        <v>4056412.3499999996</v>
      </c>
      <c r="R51" s="46">
        <f>375.98*250+(1049755.94*1.25)+5352.11*250</f>
        <v>2744217.425</v>
      </c>
      <c r="S51" s="46">
        <f>375.98*670+2*(1049755.94*1.25)+5352.11*670</f>
        <v>6462210.149999999</v>
      </c>
      <c r="T51" s="47">
        <f>375.98*670+(1049755.94*1.25)+5352.11*670</f>
        <v>5150015.225</v>
      </c>
    </row>
    <row r="52" spans="2:20" ht="15">
      <c r="B52" s="160"/>
      <c r="C52" s="162" t="s">
        <v>59</v>
      </c>
      <c r="D52" s="44" t="s">
        <v>57</v>
      </c>
      <c r="E52" s="45">
        <f>26921.2+2*(4204843.44*1.25)</f>
        <v>10539029.8</v>
      </c>
      <c r="F52" s="46">
        <f>26921.2+(4204843.44*1.25)</f>
        <v>5282975.500000001</v>
      </c>
      <c r="G52" s="46">
        <f>26921.2+2*(4204843.44*1.25)</f>
        <v>10539029.8</v>
      </c>
      <c r="H52" s="46">
        <f>26921.2+(4204843.44*1.25)</f>
        <v>5282975.500000001</v>
      </c>
      <c r="I52" s="46">
        <f>26921.2+2*(4204843.44*1.25)</f>
        <v>10539029.8</v>
      </c>
      <c r="J52" s="46">
        <f>26921.2+(4204843.44*1.25)</f>
        <v>5282975.500000001</v>
      </c>
      <c r="K52" s="46">
        <f>26921.2+2*(4204843.44*1.25)</f>
        <v>10539029.8</v>
      </c>
      <c r="L52" s="47">
        <f>26921.2+(4204843.44*1.25)</f>
        <v>5282975.500000001</v>
      </c>
      <c r="M52" s="45">
        <f>375.98*15+2*(4204843.44*1.25)</f>
        <v>10517748.3</v>
      </c>
      <c r="N52" s="46">
        <f>375.98*15+(4204843.44*1.25)</f>
        <v>5261694.000000001</v>
      </c>
      <c r="O52" s="46">
        <f>375.98*150+2*(4204843.44*1.25)</f>
        <v>10568505.600000001</v>
      </c>
      <c r="P52" s="46">
        <f>375.98*150+(4204843.44*1.25)</f>
        <v>5312451.300000001</v>
      </c>
      <c r="Q52" s="46">
        <f>375.98*250+2*(4204843.44*1.25)</f>
        <v>10606103.600000001</v>
      </c>
      <c r="R52" s="46">
        <f>375.98*250+(4204843.44*1.25)</f>
        <v>5350049.300000001</v>
      </c>
      <c r="S52" s="46">
        <f>375.98*670+2*(4204843.44*1.25)</f>
        <v>10764015.200000001</v>
      </c>
      <c r="T52" s="47">
        <f>375.98*670+(4204843.44*1.25)</f>
        <v>5507960.9</v>
      </c>
    </row>
    <row r="53" spans="2:20" ht="15.75" thickBot="1">
      <c r="B53" s="161"/>
      <c r="C53" s="163"/>
      <c r="D53" s="48" t="s">
        <v>58</v>
      </c>
      <c r="E53" s="49">
        <f>26921.2+2*(1049755.94*1.25)</f>
        <v>2651311.05</v>
      </c>
      <c r="F53" s="50">
        <f>26921.2+(1049755.94*1.25)</f>
        <v>1339116.1249999998</v>
      </c>
      <c r="G53" s="50">
        <f>26921.2+2*(1049755.94*1.25)</f>
        <v>2651311.05</v>
      </c>
      <c r="H53" s="50">
        <f>26921.2+(1049755.94*1.25)</f>
        <v>1339116.1249999998</v>
      </c>
      <c r="I53" s="50">
        <f>26921.2+2*(1049755.94*1.25)</f>
        <v>2651311.05</v>
      </c>
      <c r="J53" s="50">
        <f>26921.2+(1049755.94*1.25)</f>
        <v>1339116.1249999998</v>
      </c>
      <c r="K53" s="50">
        <f>26921.2+2*(1049755.94*1.25)</f>
        <v>2651311.05</v>
      </c>
      <c r="L53" s="51">
        <f>26921.2+(1049755.94*1.25)</f>
        <v>1339116.1249999998</v>
      </c>
      <c r="M53" s="49">
        <f>375.98*15+2*(1049755.94*1.25)</f>
        <v>2630029.55</v>
      </c>
      <c r="N53" s="50">
        <f>375.98*15+(1049755.94*1.25)</f>
        <v>1317834.6249999998</v>
      </c>
      <c r="O53" s="50">
        <f>375.98*150+2*(1049755.94*1.25)</f>
        <v>2680786.8499999996</v>
      </c>
      <c r="P53" s="50">
        <f>375.98*150+(1049755.94*1.25)</f>
        <v>1368591.9249999998</v>
      </c>
      <c r="Q53" s="50">
        <f>375.98*250+2*(1049755.94*1.25)</f>
        <v>2718384.8499999996</v>
      </c>
      <c r="R53" s="50">
        <f>375.98*250+(1049755.94*1.25)</f>
        <v>1406189.9249999998</v>
      </c>
      <c r="S53" s="50">
        <f>375.98*670+2*(1049755.94*1.25)</f>
        <v>2876296.4499999997</v>
      </c>
      <c r="T53" s="51">
        <f>375.98*670+(1049755.94*1.25)</f>
        <v>1564101.525</v>
      </c>
    </row>
    <row r="54" spans="2:20" ht="15">
      <c r="B54" s="52"/>
      <c r="C54" s="52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2:20" ht="15">
      <c r="B55" s="169" t="s">
        <v>257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</row>
  </sheetData>
  <sheetProtection/>
  <mergeCells count="69">
    <mergeCell ref="B55:T55"/>
    <mergeCell ref="E34:E35"/>
    <mergeCell ref="G34:G35"/>
    <mergeCell ref="H34:H35"/>
    <mergeCell ref="E36:E37"/>
    <mergeCell ref="G36:G37"/>
    <mergeCell ref="H36:H37"/>
    <mergeCell ref="E38:E39"/>
    <mergeCell ref="G38:G39"/>
    <mergeCell ref="H38:H39"/>
    <mergeCell ref="E40:E41"/>
    <mergeCell ref="G40:G41"/>
    <mergeCell ref="H40:H41"/>
    <mergeCell ref="N34:N35"/>
    <mergeCell ref="C36:C37"/>
    <mergeCell ref="F36:F37"/>
    <mergeCell ref="N36:N37"/>
    <mergeCell ref="B38:B41"/>
    <mergeCell ref="C38:C39"/>
    <mergeCell ref="F38:F39"/>
    <mergeCell ref="N38:N39"/>
    <mergeCell ref="C40:C41"/>
    <mergeCell ref="F40:F41"/>
    <mergeCell ref="N40:N41"/>
    <mergeCell ref="M30:N30"/>
    <mergeCell ref="O30:P30"/>
    <mergeCell ref="Q30:R30"/>
    <mergeCell ref="S30:T30"/>
    <mergeCell ref="B33:D33"/>
    <mergeCell ref="E33:L33"/>
    <mergeCell ref="M33:T33"/>
    <mergeCell ref="I30:J30"/>
    <mergeCell ref="B50:B53"/>
    <mergeCell ref="C50:C51"/>
    <mergeCell ref="C52:C53"/>
    <mergeCell ref="E30:F30"/>
    <mergeCell ref="G30:H30"/>
    <mergeCell ref="B42:B45"/>
    <mergeCell ref="C42:C43"/>
    <mergeCell ref="C44:C45"/>
    <mergeCell ref="B46:B49"/>
    <mergeCell ref="C46:C47"/>
    <mergeCell ref="C48:C49"/>
    <mergeCell ref="B34:B37"/>
    <mergeCell ref="C34:C35"/>
    <mergeCell ref="F34:F35"/>
    <mergeCell ref="A3:R3"/>
    <mergeCell ref="A4:R4"/>
    <mergeCell ref="A8:R8"/>
    <mergeCell ref="R11:R12"/>
    <mergeCell ref="A5:R5"/>
    <mergeCell ref="A6:R6"/>
    <mergeCell ref="A7:R7"/>
    <mergeCell ref="A29:R29"/>
    <mergeCell ref="K30:L30"/>
    <mergeCell ref="B31:D31"/>
    <mergeCell ref="B30:D30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A28:R28"/>
  </mergeCells>
  <printOptions/>
  <pageMargins left="0.7" right="0.7" top="0.75" bottom="0.75" header="0.3" footer="0.3"/>
  <pageSetup horizontalDpi="180" verticalDpi="18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="85" zoomScaleSheetLayoutView="85" zoomScalePageLayoutView="0" workbookViewId="0" topLeftCell="A1">
      <selection activeCell="H2" sqref="H2"/>
    </sheetView>
  </sheetViews>
  <sheetFormatPr defaultColWidth="12.28125" defaultRowHeight="15"/>
  <cols>
    <col min="1" max="1" width="5.8515625" style="5" customWidth="1"/>
    <col min="2" max="2" width="27.00390625" style="4" customWidth="1"/>
    <col min="3" max="3" width="17.28125" style="4" customWidth="1"/>
    <col min="4" max="4" width="13.57421875" style="4" customWidth="1"/>
    <col min="5" max="5" width="16.140625" style="4" customWidth="1"/>
    <col min="6" max="6" width="9.421875" style="4" customWidth="1"/>
    <col min="7" max="7" width="17.00390625" style="4" customWidth="1"/>
    <col min="8" max="8" width="13.57421875" style="4" customWidth="1"/>
    <col min="9" max="9" width="10.00390625" style="4" customWidth="1"/>
    <col min="10" max="10" width="12.140625" style="4" customWidth="1"/>
    <col min="11" max="11" width="14.140625" style="4" customWidth="1"/>
    <col min="12" max="12" width="9.140625" style="4" customWidth="1"/>
    <col min="13" max="13" width="9.57421875" style="4" customWidth="1"/>
    <col min="14" max="14" width="10.7109375" style="4" customWidth="1"/>
    <col min="15" max="16384" width="12.28125" style="4" customWidth="1"/>
  </cols>
  <sheetData>
    <row r="1" spans="1:17" ht="15.75">
      <c r="A1" s="173" t="s">
        <v>229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3" spans="1:17" s="11" customFormat="1" ht="51" customHeight="1">
      <c r="A3" s="156" t="s">
        <v>128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s="12" customFormat="1" ht="12.75">
      <c r="A4" s="176" t="s">
        <v>130</v>
      </c>
      <c r="B4" s="174" t="s">
        <v>60</v>
      </c>
      <c r="C4" s="174" t="s">
        <v>61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s="12" customFormat="1" ht="36" customHeight="1">
      <c r="A5" s="176"/>
      <c r="B5" s="174"/>
      <c r="C5" s="175" t="s">
        <v>62</v>
      </c>
      <c r="D5" s="175"/>
      <c r="E5" s="175"/>
      <c r="F5" s="175" t="s">
        <v>63</v>
      </c>
      <c r="G5" s="175"/>
      <c r="H5" s="175"/>
      <c r="I5" s="175" t="s">
        <v>64</v>
      </c>
      <c r="J5" s="175"/>
      <c r="K5" s="175"/>
      <c r="L5" s="175" t="s">
        <v>65</v>
      </c>
      <c r="M5" s="175"/>
      <c r="N5" s="175"/>
      <c r="O5" s="175" t="s">
        <v>66</v>
      </c>
      <c r="P5" s="175"/>
      <c r="Q5" s="175"/>
    </row>
    <row r="6" spans="1:17" s="12" customFormat="1" ht="51.75" customHeight="1">
      <c r="A6" s="176"/>
      <c r="B6" s="174"/>
      <c r="C6" s="86" t="s">
        <v>3</v>
      </c>
      <c r="D6" s="86" t="s">
        <v>129</v>
      </c>
      <c r="E6" s="86" t="s">
        <v>5</v>
      </c>
      <c r="F6" s="86" t="s">
        <v>3</v>
      </c>
      <c r="G6" s="86" t="s">
        <v>129</v>
      </c>
      <c r="H6" s="86" t="s">
        <v>5</v>
      </c>
      <c r="I6" s="86" t="s">
        <v>3</v>
      </c>
      <c r="J6" s="86" t="s">
        <v>129</v>
      </c>
      <c r="K6" s="86" t="s">
        <v>5</v>
      </c>
      <c r="L6" s="86" t="s">
        <v>3</v>
      </c>
      <c r="M6" s="86" t="s">
        <v>129</v>
      </c>
      <c r="N6" s="86" t="s">
        <v>5</v>
      </c>
      <c r="O6" s="86" t="s">
        <v>3</v>
      </c>
      <c r="P6" s="86" t="s">
        <v>129</v>
      </c>
      <c r="Q6" s="86" t="s">
        <v>5</v>
      </c>
    </row>
    <row r="7" spans="1:17" s="12" customFormat="1" ht="15.75" customHeight="1">
      <c r="A7" s="87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57" customFormat="1" ht="16.5" customHeight="1">
      <c r="A8" s="54">
        <v>1</v>
      </c>
      <c r="B8" s="55" t="s">
        <v>243</v>
      </c>
      <c r="C8" s="56">
        <f>SUM(C9:C14)</f>
        <v>1</v>
      </c>
      <c r="D8" s="56">
        <f>SUM(D9:D14)</f>
        <v>2</v>
      </c>
      <c r="E8" s="7">
        <f>(D8-C8)/C8*100</f>
        <v>100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</row>
    <row r="9" spans="1:17" s="11" customFormat="1" ht="25.5">
      <c r="A9" s="13" t="s">
        <v>131</v>
      </c>
      <c r="B9" s="14" t="s">
        <v>67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s="11" customFormat="1" ht="38.25">
      <c r="A10" s="13" t="s">
        <v>132</v>
      </c>
      <c r="B10" s="14" t="s">
        <v>68</v>
      </c>
      <c r="C10" s="7">
        <v>1</v>
      </c>
      <c r="D10" s="7">
        <v>2</v>
      </c>
      <c r="E10" s="7">
        <f>(D10-C10)/C10*100</f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s="11" customFormat="1" ht="25.5">
      <c r="A11" s="13" t="s">
        <v>133</v>
      </c>
      <c r="B11" s="14" t="s">
        <v>69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s="11" customFormat="1" ht="12.75">
      <c r="A12" s="13" t="s">
        <v>134</v>
      </c>
      <c r="B12" s="14" t="s">
        <v>70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s="11" customFormat="1" ht="25.5">
      <c r="A13" s="13" t="s">
        <v>135</v>
      </c>
      <c r="B13" s="14" t="s">
        <v>71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s="11" customFormat="1" ht="12.75">
      <c r="A14" s="13" t="s">
        <v>136</v>
      </c>
      <c r="B14" s="14" t="s">
        <v>72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s="59" customFormat="1" ht="19.5" customHeight="1">
      <c r="A15" s="54" t="s">
        <v>137</v>
      </c>
      <c r="B15" s="58" t="s">
        <v>244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</row>
    <row r="16" spans="1:17" s="11" customFormat="1" ht="38.25">
      <c r="A16" s="13" t="s">
        <v>138</v>
      </c>
      <c r="B16" s="14" t="s">
        <v>73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s="11" customFormat="1" ht="25.5">
      <c r="A17" s="13" t="s">
        <v>139</v>
      </c>
      <c r="B17" s="14" t="s">
        <v>74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s="11" customFormat="1" ht="25.5">
      <c r="A18" s="13" t="s">
        <v>140</v>
      </c>
      <c r="B18" s="14" t="s">
        <v>75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s="11" customFormat="1" ht="38.25">
      <c r="A19" s="13" t="s">
        <v>141</v>
      </c>
      <c r="B19" s="14" t="s">
        <v>68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s="11" customFormat="1" ht="25.5">
      <c r="A20" s="13" t="s">
        <v>142</v>
      </c>
      <c r="B20" s="14" t="s">
        <v>69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s="11" customFormat="1" ht="12.75">
      <c r="A21" s="13" t="s">
        <v>143</v>
      </c>
      <c r="B21" s="14" t="s">
        <v>70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s="11" customFormat="1" ht="38.25">
      <c r="A22" s="13" t="s">
        <v>144</v>
      </c>
      <c r="B22" s="14" t="s">
        <v>76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s="11" customFormat="1" ht="12.75">
      <c r="A23" s="13" t="s">
        <v>145</v>
      </c>
      <c r="B23" s="14" t="s">
        <v>72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59" customFormat="1" ht="17.25" customHeight="1">
      <c r="A24" s="54" t="s">
        <v>147</v>
      </c>
      <c r="B24" s="58" t="s">
        <v>146</v>
      </c>
      <c r="C24" s="56">
        <f>SUM(C25:C28)</f>
        <v>10</v>
      </c>
      <c r="D24" s="56">
        <f>SUM(D25:D28)</f>
        <v>12</v>
      </c>
      <c r="E24" s="7">
        <f>(D24-C24)/C24*100</f>
        <v>20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</row>
    <row r="25" spans="1:17" s="11" customFormat="1" ht="25.5">
      <c r="A25" s="13" t="s">
        <v>148</v>
      </c>
      <c r="B25" s="14" t="s">
        <v>26</v>
      </c>
      <c r="C25" s="7">
        <v>7</v>
      </c>
      <c r="D25" s="7">
        <v>7</v>
      </c>
      <c r="E25" s="7">
        <f>(D25-C25)/C25*100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s="11" customFormat="1" ht="38.25">
      <c r="A26" s="13" t="s">
        <v>149</v>
      </c>
      <c r="B26" s="14" t="s">
        <v>77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s="11" customFormat="1" ht="25.5">
      <c r="A27" s="13" t="s">
        <v>150</v>
      </c>
      <c r="B27" s="14" t="s">
        <v>78</v>
      </c>
      <c r="C27" s="7">
        <v>3</v>
      </c>
      <c r="D27" s="7">
        <v>5</v>
      </c>
      <c r="E27" s="40">
        <f>(D27-C27)/C27*100</f>
        <v>66.66666666666666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s="11" customFormat="1" ht="12.75">
      <c r="A28" s="13" t="s">
        <v>151</v>
      </c>
      <c r="B28" s="1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="11" customFormat="1" ht="12.75">
      <c r="A29" s="15"/>
    </row>
    <row r="30" spans="1:17" s="11" customFormat="1" ht="12.75">
      <c r="A30" s="156" t="s">
        <v>79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</row>
    <row r="31" spans="1:11" s="12" customFormat="1" ht="159" customHeight="1">
      <c r="A31" s="87" t="s">
        <v>130</v>
      </c>
      <c r="B31" s="86" t="s">
        <v>80</v>
      </c>
      <c r="C31" s="86" t="s">
        <v>81</v>
      </c>
      <c r="D31" s="86" t="s">
        <v>82</v>
      </c>
      <c r="E31" s="86" t="s">
        <v>83</v>
      </c>
      <c r="F31" s="86" t="s">
        <v>84</v>
      </c>
      <c r="G31" s="86" t="s">
        <v>85</v>
      </c>
      <c r="H31" s="86" t="s">
        <v>86</v>
      </c>
      <c r="I31" s="86" t="s">
        <v>87</v>
      </c>
      <c r="J31" s="86" t="s">
        <v>88</v>
      </c>
      <c r="K31" s="86" t="s">
        <v>89</v>
      </c>
    </row>
    <row r="32" spans="1:11" s="11" customFormat="1" ht="12.75">
      <c r="A32" s="86">
        <v>1</v>
      </c>
      <c r="B32" s="86">
        <v>2</v>
      </c>
      <c r="C32" s="86">
        <v>3</v>
      </c>
      <c r="D32" s="86">
        <v>4</v>
      </c>
      <c r="E32" s="86">
        <v>5</v>
      </c>
      <c r="F32" s="86">
        <v>6</v>
      </c>
      <c r="G32" s="86">
        <v>7</v>
      </c>
      <c r="H32" s="86">
        <v>8</v>
      </c>
      <c r="I32" s="86">
        <v>9</v>
      </c>
      <c r="J32" s="86">
        <v>10</v>
      </c>
      <c r="K32" s="86">
        <v>11</v>
      </c>
    </row>
    <row r="33" spans="1:11" s="11" customFormat="1" ht="98.25" customHeight="1">
      <c r="A33" s="13" t="s">
        <v>153</v>
      </c>
      <c r="B33" s="177" t="s">
        <v>155</v>
      </c>
      <c r="C33" s="14" t="s">
        <v>201</v>
      </c>
      <c r="D33" s="14" t="s">
        <v>258</v>
      </c>
      <c r="E33" s="80" t="s">
        <v>259</v>
      </c>
      <c r="F33" s="7" t="s">
        <v>260</v>
      </c>
      <c r="G33" s="177" t="s">
        <v>117</v>
      </c>
      <c r="H33" s="7" t="s">
        <v>152</v>
      </c>
      <c r="I33" s="7" t="s">
        <v>152</v>
      </c>
      <c r="J33" s="7" t="s">
        <v>152</v>
      </c>
      <c r="K33" s="7" t="s">
        <v>152</v>
      </c>
    </row>
    <row r="34" spans="1:11" s="11" customFormat="1" ht="113.25" customHeight="1">
      <c r="A34" s="13" t="s">
        <v>137</v>
      </c>
      <c r="B34" s="178"/>
      <c r="C34" s="14" t="s">
        <v>202</v>
      </c>
      <c r="D34" s="179" t="s">
        <v>228</v>
      </c>
      <c r="E34" s="179"/>
      <c r="F34" s="7" t="s">
        <v>118</v>
      </c>
      <c r="G34" s="178"/>
      <c r="H34" s="7" t="s">
        <v>152</v>
      </c>
      <c r="I34" s="7" t="s">
        <v>152</v>
      </c>
      <c r="J34" s="7" t="s">
        <v>152</v>
      </c>
      <c r="K34" s="7" t="s">
        <v>152</v>
      </c>
    </row>
    <row r="35" s="11" customFormat="1" ht="12.75">
      <c r="A35" s="15"/>
    </row>
    <row r="36" spans="1:17" s="11" customFormat="1" ht="12.75">
      <c r="A36" s="156" t="s">
        <v>156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="11" customFormat="1" ht="12.75">
      <c r="A37" s="15"/>
    </row>
    <row r="38" spans="1:4" s="11" customFormat="1" ht="12.75">
      <c r="A38" s="13" t="s">
        <v>130</v>
      </c>
      <c r="B38" s="7" t="s">
        <v>90</v>
      </c>
      <c r="C38" s="14"/>
      <c r="D38" s="14"/>
    </row>
    <row r="39" spans="1:4" s="11" customFormat="1" ht="89.25">
      <c r="A39" s="13" t="s">
        <v>153</v>
      </c>
      <c r="B39" s="14" t="s">
        <v>157</v>
      </c>
      <c r="C39" s="14" t="s">
        <v>91</v>
      </c>
      <c r="D39" s="7" t="s">
        <v>261</v>
      </c>
    </row>
    <row r="40" spans="1:4" s="11" customFormat="1" ht="51">
      <c r="A40" s="13" t="s">
        <v>137</v>
      </c>
      <c r="B40" s="14" t="s">
        <v>158</v>
      </c>
      <c r="C40" s="14" t="s">
        <v>92</v>
      </c>
      <c r="D40" s="7" t="s">
        <v>152</v>
      </c>
    </row>
    <row r="41" spans="1:4" s="11" customFormat="1" ht="51">
      <c r="A41" s="13" t="s">
        <v>138</v>
      </c>
      <c r="B41" s="14" t="s">
        <v>93</v>
      </c>
      <c r="C41" s="14" t="s">
        <v>92</v>
      </c>
      <c r="D41" s="7" t="s">
        <v>152</v>
      </c>
    </row>
    <row r="42" spans="1:4" s="11" customFormat="1" ht="63.75">
      <c r="A42" s="13" t="s">
        <v>141</v>
      </c>
      <c r="B42" s="14" t="s">
        <v>94</v>
      </c>
      <c r="C42" s="14" t="s">
        <v>92</v>
      </c>
      <c r="D42" s="7" t="s">
        <v>152</v>
      </c>
    </row>
    <row r="43" spans="1:4" s="11" customFormat="1" ht="63.75">
      <c r="A43" s="13" t="s">
        <v>147</v>
      </c>
      <c r="B43" s="14" t="s">
        <v>95</v>
      </c>
      <c r="C43" s="14" t="s">
        <v>159</v>
      </c>
      <c r="D43" s="7" t="s">
        <v>152</v>
      </c>
    </row>
    <row r="44" spans="1:4" s="11" customFormat="1" ht="63.75">
      <c r="A44" s="13" t="s">
        <v>154</v>
      </c>
      <c r="B44" s="14" t="s">
        <v>96</v>
      </c>
      <c r="C44" s="14" t="s">
        <v>159</v>
      </c>
      <c r="D44" s="7" t="s">
        <v>152</v>
      </c>
    </row>
    <row r="45" s="11" customFormat="1" ht="12.75">
      <c r="A45" s="15"/>
    </row>
    <row r="46" spans="1:15" s="37" customFormat="1" ht="29.25" customHeight="1">
      <c r="A46" s="157" t="s">
        <v>160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1:10" s="60" customFormat="1" ht="17.25" customHeight="1">
      <c r="A47" s="157" t="s">
        <v>161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="60" customFormat="1" ht="12.75">
      <c r="A48" s="61"/>
    </row>
    <row r="49" spans="1:15" s="60" customFormat="1" ht="16.5" customHeight="1">
      <c r="A49" s="157" t="s">
        <v>162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s="60" customFormat="1" ht="31.5" customHeight="1">
      <c r="A50" s="157" t="s">
        <v>163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s="60" customFormat="1" ht="16.5" customHeight="1">
      <c r="A51" s="181" t="s">
        <v>164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</row>
    <row r="52" s="60" customFormat="1" ht="12.75">
      <c r="A52" s="61"/>
    </row>
    <row r="53" spans="1:15" s="60" customFormat="1" ht="27" customHeight="1">
      <c r="A53" s="180" t="s">
        <v>165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1:15" s="60" customFormat="1" ht="17.25" customHeight="1">
      <c r="A54" s="182" t="s">
        <v>166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</row>
    <row r="55" s="60" customFormat="1" ht="12.75">
      <c r="A55" s="61"/>
    </row>
    <row r="56" spans="1:15" s="60" customFormat="1" ht="15.75" customHeight="1">
      <c r="A56" s="180" t="s">
        <v>167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1:15" s="60" customFormat="1" ht="17.25" customHeight="1">
      <c r="A57" s="181" t="s">
        <v>168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</row>
    <row r="58" spans="1:15" s="60" customFormat="1" ht="18" customHeight="1">
      <c r="A58" s="181" t="s">
        <v>169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</row>
    <row r="59" s="11" customFormat="1" ht="12.75">
      <c r="A59" s="15"/>
    </row>
    <row r="60" spans="1:17" s="11" customFormat="1" ht="12.75">
      <c r="A60" s="156" t="s">
        <v>170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</row>
    <row r="61" spans="1:30" s="12" customFormat="1" ht="39.75" customHeight="1">
      <c r="A61" s="176" t="s">
        <v>130</v>
      </c>
      <c r="B61" s="175" t="s">
        <v>171</v>
      </c>
      <c r="C61" s="175" t="s">
        <v>172</v>
      </c>
      <c r="D61" s="175" t="s">
        <v>173</v>
      </c>
      <c r="E61" s="175" t="s">
        <v>174</v>
      </c>
      <c r="F61" s="175"/>
      <c r="G61" s="175"/>
      <c r="H61" s="175"/>
      <c r="I61" s="175" t="s">
        <v>179</v>
      </c>
      <c r="J61" s="175"/>
      <c r="K61" s="175"/>
      <c r="L61" s="175"/>
      <c r="M61" s="175"/>
      <c r="N61" s="175"/>
      <c r="O61" s="175" t="s">
        <v>185</v>
      </c>
      <c r="P61" s="175"/>
      <c r="Q61" s="175"/>
      <c r="R61" s="175"/>
      <c r="S61" s="175"/>
      <c r="T61" s="175"/>
      <c r="U61" s="175"/>
      <c r="V61" s="175" t="s">
        <v>189</v>
      </c>
      <c r="W61" s="175"/>
      <c r="X61" s="175"/>
      <c r="Y61" s="175"/>
      <c r="Z61" s="175" t="s">
        <v>193</v>
      </c>
      <c r="AA61" s="175"/>
      <c r="AB61" s="175"/>
      <c r="AC61" s="175" t="s">
        <v>197</v>
      </c>
      <c r="AD61" s="175"/>
    </row>
    <row r="62" spans="1:41" s="12" customFormat="1" ht="211.5" customHeight="1">
      <c r="A62" s="176"/>
      <c r="B62" s="175"/>
      <c r="C62" s="175"/>
      <c r="D62" s="175"/>
      <c r="E62" s="88" t="s">
        <v>175</v>
      </c>
      <c r="F62" s="88" t="s">
        <v>176</v>
      </c>
      <c r="G62" s="88" t="s">
        <v>177</v>
      </c>
      <c r="H62" s="88" t="s">
        <v>178</v>
      </c>
      <c r="I62" s="88" t="s">
        <v>180</v>
      </c>
      <c r="J62" s="88" t="s">
        <v>181</v>
      </c>
      <c r="K62" s="88" t="s">
        <v>182</v>
      </c>
      <c r="L62" s="88" t="s">
        <v>183</v>
      </c>
      <c r="M62" s="88" t="s">
        <v>184</v>
      </c>
      <c r="N62" s="88" t="s">
        <v>66</v>
      </c>
      <c r="O62" s="88" t="s">
        <v>186</v>
      </c>
      <c r="P62" s="88" t="s">
        <v>187</v>
      </c>
      <c r="Q62" s="88" t="s">
        <v>188</v>
      </c>
      <c r="R62" s="88" t="s">
        <v>182</v>
      </c>
      <c r="S62" s="88" t="s">
        <v>183</v>
      </c>
      <c r="T62" s="88" t="s">
        <v>184</v>
      </c>
      <c r="U62" s="88" t="s">
        <v>66</v>
      </c>
      <c r="V62" s="88" t="s">
        <v>190</v>
      </c>
      <c r="W62" s="88" t="s">
        <v>191</v>
      </c>
      <c r="X62" s="88" t="s">
        <v>192</v>
      </c>
      <c r="Y62" s="88" t="s">
        <v>66</v>
      </c>
      <c r="Z62" s="88" t="s">
        <v>194</v>
      </c>
      <c r="AA62" s="88" t="s">
        <v>195</v>
      </c>
      <c r="AB62" s="88" t="s">
        <v>196</v>
      </c>
      <c r="AC62" s="88" t="s">
        <v>198</v>
      </c>
      <c r="AD62" s="88" t="s">
        <v>199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30" s="11" customFormat="1" ht="12.75">
      <c r="A63" s="86">
        <v>1</v>
      </c>
      <c r="B63" s="86">
        <v>2</v>
      </c>
      <c r="C63" s="86">
        <v>3</v>
      </c>
      <c r="D63" s="86">
        <v>4</v>
      </c>
      <c r="E63" s="86">
        <v>5</v>
      </c>
      <c r="F63" s="86">
        <v>6</v>
      </c>
      <c r="G63" s="86">
        <v>7</v>
      </c>
      <c r="H63" s="86">
        <v>8</v>
      </c>
      <c r="I63" s="86">
        <v>9</v>
      </c>
      <c r="J63" s="86">
        <v>10</v>
      </c>
      <c r="K63" s="86">
        <v>11</v>
      </c>
      <c r="L63" s="86">
        <v>12</v>
      </c>
      <c r="M63" s="86">
        <v>13</v>
      </c>
      <c r="N63" s="86">
        <v>14</v>
      </c>
      <c r="O63" s="86">
        <v>15</v>
      </c>
      <c r="P63" s="86">
        <v>16</v>
      </c>
      <c r="Q63" s="86">
        <v>17</v>
      </c>
      <c r="R63" s="86">
        <v>18</v>
      </c>
      <c r="S63" s="86">
        <v>19</v>
      </c>
      <c r="T63" s="86">
        <v>20</v>
      </c>
      <c r="U63" s="86">
        <v>21</v>
      </c>
      <c r="V63" s="86">
        <v>22</v>
      </c>
      <c r="W63" s="86">
        <v>23</v>
      </c>
      <c r="X63" s="86">
        <v>24</v>
      </c>
      <c r="Y63" s="86">
        <v>25</v>
      </c>
      <c r="Z63" s="86">
        <v>26</v>
      </c>
      <c r="AA63" s="86">
        <v>27</v>
      </c>
      <c r="AB63" s="86">
        <v>28</v>
      </c>
      <c r="AC63" s="86">
        <v>29</v>
      </c>
      <c r="AD63" s="86">
        <v>30</v>
      </c>
    </row>
    <row r="64" spans="1:30" s="11" customFormat="1" ht="25.5">
      <c r="A64" s="13" t="s">
        <v>153</v>
      </c>
      <c r="B64" s="7" t="s">
        <v>245</v>
      </c>
      <c r="C64" s="13" t="s">
        <v>262</v>
      </c>
      <c r="D64" s="7" t="s">
        <v>246</v>
      </c>
      <c r="E64" s="13" t="s">
        <v>152</v>
      </c>
      <c r="F64" s="13" t="s">
        <v>152</v>
      </c>
      <c r="G64" s="13" t="s">
        <v>152</v>
      </c>
      <c r="H64" s="13" t="s">
        <v>237</v>
      </c>
      <c r="I64" s="13" t="s">
        <v>152</v>
      </c>
      <c r="J64" s="13" t="s">
        <v>152</v>
      </c>
      <c r="K64" s="13" t="s">
        <v>247</v>
      </c>
      <c r="L64" s="13" t="s">
        <v>152</v>
      </c>
      <c r="M64" s="13" t="s">
        <v>152</v>
      </c>
      <c r="N64" s="13" t="s">
        <v>237</v>
      </c>
      <c r="O64" s="13" t="s">
        <v>152</v>
      </c>
      <c r="P64" s="13" t="s">
        <v>152</v>
      </c>
      <c r="Q64" s="13" t="s">
        <v>152</v>
      </c>
      <c r="R64" s="13" t="s">
        <v>152</v>
      </c>
      <c r="S64" s="13" t="s">
        <v>152</v>
      </c>
      <c r="T64" s="13" t="s">
        <v>152</v>
      </c>
      <c r="U64" s="13" t="s">
        <v>152</v>
      </c>
      <c r="V64" s="13" t="s">
        <v>237</v>
      </c>
      <c r="W64" s="13" t="s">
        <v>152</v>
      </c>
      <c r="X64" s="13" t="s">
        <v>237</v>
      </c>
      <c r="Y64" s="13" t="s">
        <v>152</v>
      </c>
      <c r="Z64" s="13" t="s">
        <v>237</v>
      </c>
      <c r="AA64" s="13" t="s">
        <v>152</v>
      </c>
      <c r="AB64" s="13" t="s">
        <v>152</v>
      </c>
      <c r="AC64" s="13" t="s">
        <v>152</v>
      </c>
      <c r="AD64" s="13" t="s">
        <v>152</v>
      </c>
    </row>
    <row r="65" s="11" customFormat="1" ht="12.75">
      <c r="A65" s="15"/>
    </row>
    <row r="66" spans="1:12" s="11" customFormat="1" ht="12.75">
      <c r="A66" s="183" t="s">
        <v>200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</sheetData>
  <sheetProtection/>
  <mergeCells count="37">
    <mergeCell ref="A66:L66"/>
    <mergeCell ref="I61:N61"/>
    <mergeCell ref="O61:U61"/>
    <mergeCell ref="V61:Y61"/>
    <mergeCell ref="Z61:AB61"/>
    <mergeCell ref="AC61:AD61"/>
    <mergeCell ref="E61:H61"/>
    <mergeCell ref="A61:A62"/>
    <mergeCell ref="B61:B62"/>
    <mergeCell ref="C61:C62"/>
    <mergeCell ref="D61:D62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4" max="255" man="1"/>
  </rowBreaks>
  <ignoredErrors>
    <ignoredError sqref="A15 A24 A33 A43:A44" numberStoredAsText="1"/>
    <ignoredError sqref="A17:A18" twoDigitTextYear="1"/>
    <ignoredError sqref="C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2019-04-01T16:20:47Z</dcterms:modified>
  <cp:category/>
  <cp:version/>
  <cp:contentType/>
  <cp:contentStatus/>
</cp:coreProperties>
</file>