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факт 2020" sheetId="1" r:id="rId1"/>
  </sheets>
  <definedNames/>
  <calcPr fullCalcOnLoad="1"/>
</workbook>
</file>

<file path=xl/comments1.xml><?xml version="1.0" encoding="utf-8"?>
<comments xmlns="http://schemas.openxmlformats.org/spreadsheetml/2006/main">
  <authors>
    <author>Малахова О. Н.</author>
  </authors>
  <commentList>
    <comment ref="D6" authorId="0">
      <text>
        <r>
          <rPr>
            <b/>
            <sz val="9"/>
            <rFont val="Tahoma"/>
            <family val="2"/>
          </rPr>
          <t>Малахова О. Н.:</t>
        </r>
        <r>
          <rPr>
            <sz val="9"/>
            <rFont val="Tahoma"/>
            <family val="2"/>
          </rPr>
          <t xml:space="preserve">
Средняя факт.цена потерь</t>
        </r>
      </text>
    </comment>
  </commentList>
</comments>
</file>

<file path=xl/sharedStrings.xml><?xml version="1.0" encoding="utf-8"?>
<sst xmlns="http://schemas.openxmlformats.org/spreadsheetml/2006/main" count="371" uniqueCount="91">
  <si>
    <t>№ п/п</t>
  </si>
  <si>
    <t>Статья затрат</t>
  </si>
  <si>
    <t>Объем потерь, кВтч</t>
  </si>
  <si>
    <t>Цена (тариф), руб./кВтч</t>
  </si>
  <si>
    <t>Стоимость потерь с НДС, руб.</t>
  </si>
  <si>
    <t>Уровень нормативных потерь, о.е.</t>
  </si>
  <si>
    <t>Источник опубликования Приказа РЭК</t>
  </si>
  <si>
    <t>учтенных в сводном прогнозном балансе</t>
  </si>
  <si>
    <t>не учтенных в сводном прогнозном балансе</t>
  </si>
  <si>
    <t xml:space="preserve">Затраты ООО «Гранат» на покупку потерь в собственных сетях по дог. № …928457, в т.ч.: </t>
  </si>
  <si>
    <t>-</t>
  </si>
  <si>
    <t xml:space="preserve">Затраты ООО «Гранат» на покупку потерь в собственных сетях по дог. № …381734, в т.ч.: </t>
  </si>
  <si>
    <t>цена договора определяется исходя из ежемесячных предельных уровней нерегулируемых цен в соответствии с ПП РФ №442 от 04.05.2012г</t>
  </si>
  <si>
    <t>*Размер фактических потерь, оплачиваемых покупателями при осуществлении расчетов за электроэнергию по уровням напряжения</t>
  </si>
  <si>
    <t>ВН</t>
  </si>
  <si>
    <t>Нет данных</t>
  </si>
  <si>
    <t>СН1</t>
  </si>
  <si>
    <t>СН2</t>
  </si>
  <si>
    <t>НН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</si>
  <si>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</si>
  <si>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</si>
  <si>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</si>
  <si>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</si>
  <si>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</si>
  <si>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</si>
  <si>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</si>
  <si>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</si>
  <si>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</si>
  <si>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</si>
  <si>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</si>
  <si>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</si>
  <si>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</si>
  <si>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</si>
  <si>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</si>
  <si>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</si>
  <si>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</si>
  <si>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</si>
  <si>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</si>
  <si>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</si>
  <si>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</si>
  <si>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</si>
  <si>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</si>
  <si>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</si>
  <si>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</si>
  <si>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</si>
  <si>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</si>
  <si>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</si>
  <si>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</si>
  <si>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</si>
  <si>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</si>
  <si>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</si>
  <si>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</si>
  <si>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</si>
  <si>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</si>
  <si>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</si>
  <si>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</si>
  <si>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</si>
  <si>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</si>
  <si>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</si>
  <si>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</si>
  <si>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</si>
  <si>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</si>
  <si>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</si>
  <si>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</si>
  <si>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</si>
  <si>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</si>
  <si>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</si>
  <si>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 xml:space="preserve">Затраты ООО «Гранат» на покупку потерь в собственных сетях по дог. № …13094, в т.ч.: </t>
  </si>
  <si>
    <t xml:space="preserve">Затраты ООО «Гранат» на покупку потерь в собственных сетях по дог. № …13095, в т.ч.: </t>
  </si>
  <si>
    <t>Закупка ООО «Гранат» электрической энергии для компенсации потерь в сетях (план согласно договору № …928457 с ООО "ОЭК")</t>
  </si>
  <si>
    <t>Закупка ООО «Гранат» электрической энергии для компенсации потерь в сетях (план согласно договору № …381734 с ООО "ОЭК")</t>
  </si>
  <si>
    <r>
      <t xml:space="preserve">* - </t>
    </r>
    <r>
      <rPr>
        <sz val="10"/>
        <color indexed="8"/>
        <rFont val="Times New Roman"/>
        <family val="1"/>
      </rPr>
      <t>Информация о размере фактических потерь, оплачиваемых покупателями при осуществлении расчетов за электроэнергию отсутствует, в связи с отсутствием договорных отношений и расчетов между ООО «Гранат» и конечными потребителями – публикации на сайте не подлежит.</t>
    </r>
  </si>
  <si>
    <t>Затраты на оплату потерь ООО "Гранат" факт 2020 года</t>
  </si>
  <si>
    <t xml:space="preserve">Приказ РЭК № 577/91 от 31.12.2019г
(http://bptr.tarif.omskportal.ru/)
</t>
  </si>
  <si>
    <t>Приказ РЭК № 577/91 от 31.12.2019г
(http://bptr.tarif.omskportal.ru/)</t>
  </si>
  <si>
    <t xml:space="preserve"> -</t>
  </si>
  <si>
    <t>Январь 2020 г</t>
  </si>
  <si>
    <t>Февраль 2020 г</t>
  </si>
  <si>
    <t>Март 2020 г</t>
  </si>
  <si>
    <t>Апрель 2020 г</t>
  </si>
  <si>
    <t>Май 2020 г</t>
  </si>
  <si>
    <t>Июнь 2020 г</t>
  </si>
  <si>
    <t>Июль 2020 г</t>
  </si>
  <si>
    <t>Август 2020 г</t>
  </si>
  <si>
    <t>Сентябрь 2020 г</t>
  </si>
  <si>
    <t>Октябрь 2020 г</t>
  </si>
  <si>
    <t>Ноябрь 2020 г</t>
  </si>
  <si>
    <t>Декабрь 2020 г</t>
  </si>
  <si>
    <t xml:space="preserve">Затраты ООО «Гранат» на покупку потерь в собственных сетях по дог.потерь всего, в т.ч.: </t>
  </si>
  <si>
    <t>Закупка ООО «Гранат» электрической энергии для компенсации потерь в сетях (план согласно договору № …13094 с ООО "ОЭК")</t>
  </si>
  <si>
    <t>Закупка ООО «Гранат» электрической энергии для компенсации потерь в сетях (план согласно договору № …13095 с ООО "ОЭК")</t>
  </si>
</sst>
</file>

<file path=xl/styles.xml><?xml version="1.0" encoding="utf-8"?>
<styleSheet xmlns="http://schemas.openxmlformats.org/spreadsheetml/2006/main">
  <numFmts count="1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.00000"/>
    <numFmt numFmtId="173" formatCode="0.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172" fontId="41" fillId="0" borderId="10" xfId="0" applyNumberFormat="1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3" fontId="42" fillId="0" borderId="10" xfId="0" applyNumberFormat="1" applyFont="1" applyFill="1" applyBorder="1" applyAlignment="1">
      <alignment horizontal="center" vertical="center" wrapText="1"/>
    </xf>
    <xf numFmtId="10" fontId="42" fillId="0" borderId="10" xfId="0" applyNumberFormat="1" applyFont="1" applyFill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 wrapText="1"/>
    </xf>
    <xf numFmtId="3" fontId="42" fillId="0" borderId="10" xfId="0" applyNumberFormat="1" applyFont="1" applyBorder="1" applyAlignment="1">
      <alignment horizontal="center" vertical="center" wrapText="1"/>
    </xf>
    <xf numFmtId="172" fontId="42" fillId="0" borderId="10" xfId="0" applyNumberFormat="1" applyFont="1" applyBorder="1" applyAlignment="1">
      <alignment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42" fillId="0" borderId="10" xfId="0" applyFont="1" applyFill="1" applyBorder="1" applyAlignment="1">
      <alignment vertical="center" wrapText="1"/>
    </xf>
    <xf numFmtId="1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172" fontId="42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3" fontId="41" fillId="0" borderId="10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1" fontId="42" fillId="0" borderId="0" xfId="0" applyNumberFormat="1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Fill="1" applyAlignment="1">
      <alignment vertical="center"/>
    </xf>
    <xf numFmtId="3" fontId="42" fillId="0" borderId="0" xfId="0" applyNumberFormat="1" applyFont="1" applyAlignment="1">
      <alignment vertical="center"/>
    </xf>
    <xf numFmtId="172" fontId="42" fillId="0" borderId="0" xfId="0" applyNumberFormat="1" applyFont="1" applyAlignment="1">
      <alignment vertical="center"/>
    </xf>
    <xf numFmtId="4" fontId="42" fillId="0" borderId="0" xfId="0" applyNumberFormat="1" applyFont="1" applyBorder="1" applyAlignment="1">
      <alignment horizontal="center" vertical="center" wrapText="1"/>
    </xf>
    <xf numFmtId="1" fontId="42" fillId="0" borderId="10" xfId="0" applyNumberFormat="1" applyFont="1" applyBorder="1" applyAlignment="1">
      <alignment vertical="center" wrapText="1"/>
    </xf>
    <xf numFmtId="4" fontId="42" fillId="0" borderId="10" xfId="0" applyNumberFormat="1" applyFont="1" applyBorder="1" applyAlignment="1">
      <alignment vertical="center" wrapText="1"/>
    </xf>
    <xf numFmtId="173" fontId="42" fillId="0" borderId="10" xfId="0" applyNumberFormat="1" applyFont="1" applyBorder="1" applyAlignment="1">
      <alignment vertical="center" wrapText="1"/>
    </xf>
    <xf numFmtId="1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3" fontId="41" fillId="0" borderId="10" xfId="0" applyNumberFormat="1" applyFont="1" applyBorder="1" applyAlignment="1">
      <alignment horizontal="center" vertical="center" wrapText="1"/>
    </xf>
    <xf numFmtId="1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3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right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10" fontId="42" fillId="0" borderId="10" xfId="0" applyNumberFormat="1" applyFont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 wrapText="1"/>
    </xf>
    <xf numFmtId="4" fontId="42" fillId="0" borderId="11" xfId="0" applyNumberFormat="1" applyFont="1" applyBorder="1" applyAlignment="1">
      <alignment horizontal="center" vertical="center" wrapText="1"/>
    </xf>
    <xf numFmtId="4" fontId="42" fillId="0" borderId="12" xfId="0" applyNumberFormat="1" applyFont="1" applyBorder="1" applyAlignment="1">
      <alignment horizontal="center" vertical="center" wrapText="1"/>
    </xf>
    <xf numFmtId="172" fontId="42" fillId="0" borderId="10" xfId="0" applyNumberFormat="1" applyFont="1" applyBorder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1" fontId="42" fillId="0" borderId="10" xfId="0" applyNumberFormat="1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172" fontId="42" fillId="0" borderId="11" xfId="0" applyNumberFormat="1" applyFont="1" applyBorder="1" applyAlignment="1">
      <alignment horizontal="center" vertical="center" wrapText="1"/>
    </xf>
    <xf numFmtId="172" fontId="42" fillId="0" borderId="12" xfId="0" applyNumberFormat="1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3" fontId="42" fillId="0" borderId="11" xfId="0" applyNumberFormat="1" applyFont="1" applyBorder="1" applyAlignment="1">
      <alignment horizontal="center" vertical="center" wrapText="1"/>
    </xf>
    <xf numFmtId="3" fontId="42" fillId="0" borderId="12" xfId="0" applyNumberFormat="1" applyFont="1" applyBorder="1" applyAlignment="1">
      <alignment horizontal="center" vertical="center" wrapText="1"/>
    </xf>
    <xf numFmtId="3" fontId="42" fillId="0" borderId="11" xfId="0" applyNumberFormat="1" applyFont="1" applyFill="1" applyBorder="1" applyAlignment="1">
      <alignment horizontal="center" vertical="center" wrapText="1"/>
    </xf>
    <xf numFmtId="3" fontId="42" fillId="0" borderId="13" xfId="0" applyNumberFormat="1" applyFont="1" applyFill="1" applyBorder="1" applyAlignment="1">
      <alignment horizontal="center" vertical="center" wrapText="1"/>
    </xf>
    <xf numFmtId="3" fontId="42" fillId="0" borderId="12" xfId="0" applyNumberFormat="1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left" vertical="center" wrapText="1"/>
    </xf>
    <xf numFmtId="0" fontId="42" fillId="0" borderId="12" xfId="0" applyFont="1" applyBorder="1" applyAlignment="1">
      <alignment horizontal="left" vertical="center" wrapText="1"/>
    </xf>
    <xf numFmtId="1" fontId="42" fillId="0" borderId="11" xfId="0" applyNumberFormat="1" applyFont="1" applyBorder="1" applyAlignment="1">
      <alignment horizontal="center" vertical="center" wrapText="1"/>
    </xf>
    <xf numFmtId="1" fontId="42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72"/>
  <sheetViews>
    <sheetView tabSelected="1" zoomScaleSheetLayoutView="110" zoomScalePageLayoutView="0" workbookViewId="0" topLeftCell="A1">
      <selection activeCell="C63" sqref="C63:C65"/>
    </sheetView>
  </sheetViews>
  <sheetFormatPr defaultColWidth="9.140625" defaultRowHeight="15"/>
  <cols>
    <col min="1" max="1" width="5.140625" style="19" customWidth="1"/>
    <col min="2" max="2" width="27.421875" style="17" customWidth="1"/>
    <col min="3" max="6" width="13.00390625" style="17" customWidth="1"/>
    <col min="7" max="7" width="13.00390625" style="22" customWidth="1"/>
    <col min="8" max="8" width="13.00390625" style="23" customWidth="1"/>
    <col min="9" max="9" width="13.7109375" style="17" bestFit="1" customWidth="1"/>
    <col min="10" max="10" width="14.57421875" style="17" customWidth="1"/>
    <col min="11" max="11" width="17.140625" style="17" customWidth="1"/>
    <col min="12" max="16384" width="9.140625" style="17" customWidth="1"/>
  </cols>
  <sheetData>
    <row r="1" ht="15.75"/>
    <row r="2" spans="2:11" ht="18.75">
      <c r="B2" s="37" t="s">
        <v>72</v>
      </c>
      <c r="C2" s="37"/>
      <c r="D2" s="37"/>
      <c r="E2" s="37"/>
      <c r="F2" s="37"/>
      <c r="G2" s="37"/>
      <c r="H2" s="37"/>
      <c r="I2" s="37"/>
      <c r="J2" s="37"/>
      <c r="K2" s="37"/>
    </row>
    <row r="3" ht="15.75"/>
    <row r="4" spans="1:11" s="20" customFormat="1" ht="41.25" customHeight="1">
      <c r="A4" s="28" t="s">
        <v>0</v>
      </c>
      <c r="B4" s="29" t="s">
        <v>1</v>
      </c>
      <c r="C4" s="15" t="s">
        <v>2</v>
      </c>
      <c r="D4" s="15" t="s">
        <v>3</v>
      </c>
      <c r="E4" s="15" t="s">
        <v>2</v>
      </c>
      <c r="F4" s="15" t="s">
        <v>3</v>
      </c>
      <c r="G4" s="16" t="s">
        <v>2</v>
      </c>
      <c r="H4" s="1" t="s">
        <v>3</v>
      </c>
      <c r="I4" s="29" t="s">
        <v>4</v>
      </c>
      <c r="J4" s="29" t="s">
        <v>5</v>
      </c>
      <c r="K4" s="29" t="s">
        <v>6</v>
      </c>
    </row>
    <row r="5" spans="1:11" s="20" customFormat="1" ht="30.75" customHeight="1">
      <c r="A5" s="28"/>
      <c r="B5" s="29"/>
      <c r="C5" s="29" t="s">
        <v>7</v>
      </c>
      <c r="D5" s="29"/>
      <c r="E5" s="29" t="s">
        <v>7</v>
      </c>
      <c r="F5" s="29"/>
      <c r="G5" s="30" t="s">
        <v>8</v>
      </c>
      <c r="H5" s="30"/>
      <c r="I5" s="29"/>
      <c r="J5" s="29"/>
      <c r="K5" s="29"/>
    </row>
    <row r="6" spans="1:11" ht="78.75">
      <c r="A6" s="25">
        <v>1</v>
      </c>
      <c r="B6" s="9" t="s">
        <v>88</v>
      </c>
      <c r="C6" s="6">
        <f>C7+C21+C35+C49</f>
        <v>756172</v>
      </c>
      <c r="D6" s="27">
        <f>(I6-I6*20/120)/(C6+E6)</f>
        <v>2.187470911231376</v>
      </c>
      <c r="E6" s="6">
        <f>E7+E21+E35+E49</f>
        <v>530435</v>
      </c>
      <c r="F6" s="7" t="s">
        <v>10</v>
      </c>
      <c r="G6" s="6">
        <f>G7+G21+G35+G49</f>
        <v>0</v>
      </c>
      <c r="H6" s="7" t="s">
        <v>10</v>
      </c>
      <c r="I6" s="26">
        <f>I7+I21+I35+I49</f>
        <v>3377298.4640240003</v>
      </c>
      <c r="J6" s="38">
        <v>0.0393</v>
      </c>
      <c r="K6" s="38" t="s">
        <v>73</v>
      </c>
    </row>
    <row r="7" spans="1:11" ht="33" customHeight="1">
      <c r="A7" s="59">
        <v>1</v>
      </c>
      <c r="B7" s="57" t="s">
        <v>9</v>
      </c>
      <c r="C7" s="52">
        <f>SUM(C9:C20)</f>
        <v>146409</v>
      </c>
      <c r="D7" s="50"/>
      <c r="E7" s="52">
        <f>SUM(E10:E21)</f>
        <v>0</v>
      </c>
      <c r="F7" s="48" t="s">
        <v>10</v>
      </c>
      <c r="G7" s="52">
        <f>SUM(G10:G21)</f>
        <v>0</v>
      </c>
      <c r="H7" s="48" t="s">
        <v>10</v>
      </c>
      <c r="I7" s="40">
        <f>SUM(I9:I20)</f>
        <v>393981.49239599996</v>
      </c>
      <c r="J7" s="38"/>
      <c r="K7" s="38"/>
    </row>
    <row r="8" spans="1:11" ht="33" customHeight="1">
      <c r="A8" s="60"/>
      <c r="B8" s="58"/>
      <c r="C8" s="53"/>
      <c r="D8" s="51"/>
      <c r="E8" s="53"/>
      <c r="F8" s="49"/>
      <c r="G8" s="53"/>
      <c r="H8" s="49"/>
      <c r="I8" s="41"/>
      <c r="J8" s="38"/>
      <c r="K8" s="38"/>
    </row>
    <row r="9" spans="1:11" ht="15.75">
      <c r="A9" s="2" t="s">
        <v>19</v>
      </c>
      <c r="B9" s="9" t="s">
        <v>76</v>
      </c>
      <c r="C9" s="6">
        <f>2523+10791+405+9984+38700</f>
        <v>62403</v>
      </c>
      <c r="D9" s="13">
        <v>2.18805</v>
      </c>
      <c r="E9" s="6" t="s">
        <v>10</v>
      </c>
      <c r="F9" s="14" t="s">
        <v>10</v>
      </c>
      <c r="G9" s="6" t="s">
        <v>10</v>
      </c>
      <c r="H9" s="14" t="s">
        <v>10</v>
      </c>
      <c r="I9" s="5">
        <f>C9*D9*1.2+0.01</f>
        <v>163849.07098</v>
      </c>
      <c r="J9" s="38"/>
      <c r="K9" s="38"/>
    </row>
    <row r="10" spans="1:11" ht="15.75">
      <c r="A10" s="2" t="s">
        <v>20</v>
      </c>
      <c r="B10" s="9" t="s">
        <v>77</v>
      </c>
      <c r="C10" s="6">
        <f>3192+10078+11877+22671+1201</f>
        <v>49019</v>
      </c>
      <c r="D10" s="13">
        <v>2.35085</v>
      </c>
      <c r="E10" s="6" t="s">
        <v>10</v>
      </c>
      <c r="F10" s="14" t="s">
        <v>10</v>
      </c>
      <c r="G10" s="6" t="s">
        <v>10</v>
      </c>
      <c r="H10" s="14" t="s">
        <v>10</v>
      </c>
      <c r="I10" s="5">
        <f>C10*D10*1.2-0.01</f>
        <v>138283.56937999997</v>
      </c>
      <c r="J10" s="38"/>
      <c r="K10" s="38"/>
    </row>
    <row r="11" spans="1:11" ht="15.75">
      <c r="A11" s="2" t="s">
        <v>21</v>
      </c>
      <c r="B11" s="9" t="s">
        <v>78</v>
      </c>
      <c r="C11" s="6">
        <f>1042+2222+26537+4853+333</f>
        <v>34987</v>
      </c>
      <c r="D11" s="13">
        <v>2.18769</v>
      </c>
      <c r="E11" s="6" t="s">
        <v>10</v>
      </c>
      <c r="F11" s="14" t="s">
        <v>10</v>
      </c>
      <c r="G11" s="6" t="s">
        <v>10</v>
      </c>
      <c r="H11" s="14" t="s">
        <v>10</v>
      </c>
      <c r="I11" s="5">
        <f>C11*D11*1.2</f>
        <v>91848.852036</v>
      </c>
      <c r="J11" s="38"/>
      <c r="K11" s="38"/>
    </row>
    <row r="12" spans="1:11" ht="15.75">
      <c r="A12" s="2" t="s">
        <v>22</v>
      </c>
      <c r="B12" s="9" t="s">
        <v>79</v>
      </c>
      <c r="C12" s="6" t="s">
        <v>10</v>
      </c>
      <c r="D12" s="14" t="s">
        <v>10</v>
      </c>
      <c r="E12" s="6" t="s">
        <v>10</v>
      </c>
      <c r="F12" s="14" t="s">
        <v>10</v>
      </c>
      <c r="G12" s="6" t="s">
        <v>10</v>
      </c>
      <c r="H12" s="14" t="s">
        <v>10</v>
      </c>
      <c r="I12" s="14" t="s">
        <v>10</v>
      </c>
      <c r="J12" s="38"/>
      <c r="K12" s="38"/>
    </row>
    <row r="13" spans="1:11" ht="15.75">
      <c r="A13" s="2" t="s">
        <v>23</v>
      </c>
      <c r="B13" s="9" t="s">
        <v>80</v>
      </c>
      <c r="C13" s="6" t="s">
        <v>10</v>
      </c>
      <c r="D13" s="14" t="s">
        <v>10</v>
      </c>
      <c r="E13" s="6" t="s">
        <v>10</v>
      </c>
      <c r="F13" s="14" t="s">
        <v>10</v>
      </c>
      <c r="G13" s="6" t="s">
        <v>10</v>
      </c>
      <c r="H13" s="14" t="s">
        <v>10</v>
      </c>
      <c r="I13" s="14" t="s">
        <v>10</v>
      </c>
      <c r="J13" s="38"/>
      <c r="K13" s="38"/>
    </row>
    <row r="14" spans="1:11" ht="15.75">
      <c r="A14" s="2" t="s">
        <v>24</v>
      </c>
      <c r="B14" s="9" t="s">
        <v>81</v>
      </c>
      <c r="C14" s="6" t="s">
        <v>10</v>
      </c>
      <c r="D14" s="14" t="s">
        <v>10</v>
      </c>
      <c r="E14" s="6" t="s">
        <v>10</v>
      </c>
      <c r="F14" s="14" t="s">
        <v>10</v>
      </c>
      <c r="G14" s="6" t="s">
        <v>10</v>
      </c>
      <c r="H14" s="14" t="s">
        <v>10</v>
      </c>
      <c r="I14" s="14" t="s">
        <v>10</v>
      </c>
      <c r="J14" s="38"/>
      <c r="K14" s="38"/>
    </row>
    <row r="15" spans="1:11" ht="15.75">
      <c r="A15" s="2" t="s">
        <v>25</v>
      </c>
      <c r="B15" s="9" t="s">
        <v>82</v>
      </c>
      <c r="C15" s="6" t="s">
        <v>10</v>
      </c>
      <c r="D15" s="14" t="s">
        <v>10</v>
      </c>
      <c r="E15" s="6" t="s">
        <v>10</v>
      </c>
      <c r="F15" s="14" t="s">
        <v>10</v>
      </c>
      <c r="G15" s="6" t="s">
        <v>10</v>
      </c>
      <c r="H15" s="14" t="s">
        <v>10</v>
      </c>
      <c r="I15" s="14" t="s">
        <v>10</v>
      </c>
      <c r="J15" s="38"/>
      <c r="K15" s="38"/>
    </row>
    <row r="16" spans="1:11" ht="15.75">
      <c r="A16" s="2" t="s">
        <v>26</v>
      </c>
      <c r="B16" s="9" t="s">
        <v>83</v>
      </c>
      <c r="C16" s="6" t="s">
        <v>10</v>
      </c>
      <c r="D16" s="14" t="s">
        <v>10</v>
      </c>
      <c r="E16" s="6" t="s">
        <v>10</v>
      </c>
      <c r="F16" s="14" t="s">
        <v>10</v>
      </c>
      <c r="G16" s="6" t="s">
        <v>10</v>
      </c>
      <c r="H16" s="14" t="s">
        <v>10</v>
      </c>
      <c r="I16" s="14" t="s">
        <v>10</v>
      </c>
      <c r="J16" s="38"/>
      <c r="K16" s="38"/>
    </row>
    <row r="17" spans="1:11" ht="15.75">
      <c r="A17" s="2" t="s">
        <v>27</v>
      </c>
      <c r="B17" s="9" t="s">
        <v>84</v>
      </c>
      <c r="C17" s="6" t="s">
        <v>10</v>
      </c>
      <c r="D17" s="14" t="s">
        <v>10</v>
      </c>
      <c r="E17" s="6" t="s">
        <v>10</v>
      </c>
      <c r="F17" s="14" t="s">
        <v>10</v>
      </c>
      <c r="G17" s="6" t="s">
        <v>10</v>
      </c>
      <c r="H17" s="14" t="s">
        <v>10</v>
      </c>
      <c r="I17" s="14" t="s">
        <v>10</v>
      </c>
      <c r="J17" s="38"/>
      <c r="K17" s="38"/>
    </row>
    <row r="18" spans="1:11" ht="15.75">
      <c r="A18" s="2" t="s">
        <v>28</v>
      </c>
      <c r="B18" s="9" t="s">
        <v>85</v>
      </c>
      <c r="C18" s="6" t="s">
        <v>10</v>
      </c>
      <c r="D18" s="14" t="s">
        <v>10</v>
      </c>
      <c r="E18" s="6" t="s">
        <v>10</v>
      </c>
      <c r="F18" s="14" t="s">
        <v>10</v>
      </c>
      <c r="G18" s="6" t="s">
        <v>10</v>
      </c>
      <c r="H18" s="14" t="s">
        <v>10</v>
      </c>
      <c r="I18" s="14" t="s">
        <v>10</v>
      </c>
      <c r="J18" s="38"/>
      <c r="K18" s="38"/>
    </row>
    <row r="19" spans="1:11" ht="15.75">
      <c r="A19" s="2" t="s">
        <v>29</v>
      </c>
      <c r="B19" s="9" t="s">
        <v>86</v>
      </c>
      <c r="C19" s="6" t="s">
        <v>10</v>
      </c>
      <c r="D19" s="14" t="s">
        <v>10</v>
      </c>
      <c r="E19" s="6" t="s">
        <v>10</v>
      </c>
      <c r="F19" s="14" t="s">
        <v>10</v>
      </c>
      <c r="G19" s="6" t="s">
        <v>10</v>
      </c>
      <c r="H19" s="14" t="s">
        <v>10</v>
      </c>
      <c r="I19" s="14" t="s">
        <v>10</v>
      </c>
      <c r="J19" s="38"/>
      <c r="K19" s="38"/>
    </row>
    <row r="20" spans="1:11" ht="15.75">
      <c r="A20" s="2" t="s">
        <v>30</v>
      </c>
      <c r="B20" s="9" t="s">
        <v>87</v>
      </c>
      <c r="C20" s="6" t="s">
        <v>10</v>
      </c>
      <c r="D20" s="14" t="s">
        <v>10</v>
      </c>
      <c r="E20" s="6" t="s">
        <v>10</v>
      </c>
      <c r="F20" s="14" t="s">
        <v>10</v>
      </c>
      <c r="G20" s="6" t="s">
        <v>10</v>
      </c>
      <c r="H20" s="14" t="s">
        <v>10</v>
      </c>
      <c r="I20" s="14" t="s">
        <v>10</v>
      </c>
      <c r="J20" s="38"/>
      <c r="K20" s="38"/>
    </row>
    <row r="21" spans="1:11" ht="47.25" customHeight="1">
      <c r="A21" s="31">
        <v>2</v>
      </c>
      <c r="B21" s="33" t="s">
        <v>11</v>
      </c>
      <c r="C21" s="34">
        <f>SUM(C23:C34)</f>
        <v>24495</v>
      </c>
      <c r="D21" s="35"/>
      <c r="E21" s="50">
        <v>0</v>
      </c>
      <c r="F21" s="50" t="s">
        <v>75</v>
      </c>
      <c r="G21" s="34">
        <f>SUM(G23:G34)</f>
        <v>0</v>
      </c>
      <c r="H21" s="42"/>
      <c r="I21" s="39">
        <f>SUM(I23:I34)</f>
        <v>65292.745572</v>
      </c>
      <c r="J21" s="38">
        <v>0.0393</v>
      </c>
      <c r="K21" s="45" t="s">
        <v>74</v>
      </c>
    </row>
    <row r="22" spans="1:11" ht="52.5" customHeight="1">
      <c r="A22" s="31"/>
      <c r="B22" s="33"/>
      <c r="C22" s="34"/>
      <c r="D22" s="35"/>
      <c r="E22" s="51"/>
      <c r="F22" s="51"/>
      <c r="G22" s="34"/>
      <c r="H22" s="42"/>
      <c r="I22" s="39"/>
      <c r="J22" s="38"/>
      <c r="K22" s="46"/>
    </row>
    <row r="23" spans="1:11" ht="15.75">
      <c r="A23" s="2" t="s">
        <v>31</v>
      </c>
      <c r="B23" s="9" t="s">
        <v>76</v>
      </c>
      <c r="C23" s="18">
        <v>2150</v>
      </c>
      <c r="D23" s="13">
        <f>D9</f>
        <v>2.18805</v>
      </c>
      <c r="E23" s="6" t="s">
        <v>10</v>
      </c>
      <c r="F23" s="14" t="s">
        <v>10</v>
      </c>
      <c r="G23" s="6" t="s">
        <v>10</v>
      </c>
      <c r="H23" s="14" t="s">
        <v>10</v>
      </c>
      <c r="I23" s="5">
        <f>C23*D23*1.2</f>
        <v>5645.169</v>
      </c>
      <c r="J23" s="38"/>
      <c r="K23" s="46"/>
    </row>
    <row r="24" spans="1:11" ht="15.75">
      <c r="A24" s="2" t="s">
        <v>32</v>
      </c>
      <c r="B24" s="9" t="s">
        <v>77</v>
      </c>
      <c r="C24" s="6">
        <v>3910</v>
      </c>
      <c r="D24" s="13">
        <f>D10</f>
        <v>2.35085</v>
      </c>
      <c r="E24" s="6" t="s">
        <v>10</v>
      </c>
      <c r="F24" s="14" t="s">
        <v>10</v>
      </c>
      <c r="G24" s="6" t="s">
        <v>10</v>
      </c>
      <c r="H24" s="14" t="s">
        <v>10</v>
      </c>
      <c r="I24" s="5">
        <f>C24*D24*1.2</f>
        <v>11030.1882</v>
      </c>
      <c r="J24" s="38"/>
      <c r="K24" s="46"/>
    </row>
    <row r="25" spans="1:11" ht="15.75">
      <c r="A25" s="2" t="s">
        <v>33</v>
      </c>
      <c r="B25" s="9" t="s">
        <v>78</v>
      </c>
      <c r="C25" s="6">
        <v>1843</v>
      </c>
      <c r="D25" s="13">
        <f>D11</f>
        <v>2.18769</v>
      </c>
      <c r="E25" s="6" t="s">
        <v>10</v>
      </c>
      <c r="F25" s="14" t="s">
        <v>10</v>
      </c>
      <c r="G25" s="6" t="s">
        <v>10</v>
      </c>
      <c r="H25" s="14" t="s">
        <v>10</v>
      </c>
      <c r="I25" s="5">
        <f>C25*D25*1.2-0.01</f>
        <v>4838.285203999999</v>
      </c>
      <c r="J25" s="38"/>
      <c r="K25" s="46"/>
    </row>
    <row r="26" spans="1:11" ht="15.75">
      <c r="A26" s="2" t="s">
        <v>34</v>
      </c>
      <c r="B26" s="9" t="s">
        <v>79</v>
      </c>
      <c r="C26" s="6">
        <v>1938</v>
      </c>
      <c r="D26" s="13">
        <v>2.12221</v>
      </c>
      <c r="E26" s="6" t="s">
        <v>10</v>
      </c>
      <c r="F26" s="14" t="s">
        <v>10</v>
      </c>
      <c r="G26" s="6" t="s">
        <v>10</v>
      </c>
      <c r="H26" s="14" t="s">
        <v>10</v>
      </c>
      <c r="I26" s="5">
        <f>C26*D26*1.2+0.01</f>
        <v>4935.421576</v>
      </c>
      <c r="J26" s="38"/>
      <c r="K26" s="46"/>
    </row>
    <row r="27" spans="1:11" ht="15.75">
      <c r="A27" s="2" t="s">
        <v>35</v>
      </c>
      <c r="B27" s="9" t="s">
        <v>80</v>
      </c>
      <c r="C27" s="6">
        <v>1643</v>
      </c>
      <c r="D27" s="13">
        <v>2.14659</v>
      </c>
      <c r="E27" s="6" t="s">
        <v>10</v>
      </c>
      <c r="F27" s="14" t="s">
        <v>10</v>
      </c>
      <c r="G27" s="6" t="s">
        <v>10</v>
      </c>
      <c r="H27" s="14" t="s">
        <v>10</v>
      </c>
      <c r="I27" s="5">
        <f>C27*D27*1.2</f>
        <v>4232.2168440000005</v>
      </c>
      <c r="J27" s="38"/>
      <c r="K27" s="46"/>
    </row>
    <row r="28" spans="1:11" ht="15.75">
      <c r="A28" s="2" t="s">
        <v>36</v>
      </c>
      <c r="B28" s="9" t="s">
        <v>81</v>
      </c>
      <c r="C28" s="6">
        <v>1883</v>
      </c>
      <c r="D28" s="13">
        <v>2.24874</v>
      </c>
      <c r="E28" s="6" t="s">
        <v>10</v>
      </c>
      <c r="F28" s="14" t="s">
        <v>10</v>
      </c>
      <c r="G28" s="6" t="s">
        <v>10</v>
      </c>
      <c r="H28" s="14" t="s">
        <v>10</v>
      </c>
      <c r="I28" s="5">
        <f>C28*D28*1.2</f>
        <v>5081.252904000001</v>
      </c>
      <c r="J28" s="38"/>
      <c r="K28" s="46"/>
    </row>
    <row r="29" spans="1:11" ht="15.75" customHeight="1">
      <c r="A29" s="2" t="s">
        <v>37</v>
      </c>
      <c r="B29" s="9" t="s">
        <v>82</v>
      </c>
      <c r="C29" s="13">
        <v>2049</v>
      </c>
      <c r="D29" s="13">
        <v>2.21827</v>
      </c>
      <c r="E29" s="6" t="s">
        <v>10</v>
      </c>
      <c r="F29" s="14" t="s">
        <v>10</v>
      </c>
      <c r="G29" s="6" t="s">
        <v>10</v>
      </c>
      <c r="H29" s="14" t="s">
        <v>10</v>
      </c>
      <c r="I29" s="5">
        <f>C29*D29*1.2</f>
        <v>5454.282276</v>
      </c>
      <c r="J29" s="38"/>
      <c r="K29" s="46"/>
    </row>
    <row r="30" spans="1:11" ht="15.75">
      <c r="A30" s="2" t="s">
        <v>38</v>
      </c>
      <c r="B30" s="9" t="s">
        <v>83</v>
      </c>
      <c r="C30" s="13">
        <v>1237</v>
      </c>
      <c r="D30" s="13">
        <v>2.22636</v>
      </c>
      <c r="E30" s="6" t="s">
        <v>10</v>
      </c>
      <c r="F30" s="14" t="s">
        <v>10</v>
      </c>
      <c r="G30" s="6" t="s">
        <v>10</v>
      </c>
      <c r="H30" s="14" t="s">
        <v>10</v>
      </c>
      <c r="I30" s="5">
        <f>C30*D30*1.2</f>
        <v>3304.8087840000003</v>
      </c>
      <c r="J30" s="38"/>
      <c r="K30" s="46"/>
    </row>
    <row r="31" spans="1:11" ht="15.75">
      <c r="A31" s="2" t="s">
        <v>39</v>
      </c>
      <c r="B31" s="9" t="s">
        <v>84</v>
      </c>
      <c r="C31" s="6">
        <f>1205+669+107+207</f>
        <v>2188</v>
      </c>
      <c r="D31" s="13">
        <v>2.27282</v>
      </c>
      <c r="E31" s="6" t="s">
        <v>10</v>
      </c>
      <c r="F31" s="14" t="s">
        <v>10</v>
      </c>
      <c r="G31" s="6" t="s">
        <v>10</v>
      </c>
      <c r="H31" s="14" t="s">
        <v>10</v>
      </c>
      <c r="I31" s="5">
        <f>C31*D31*1.2-0.01</f>
        <v>5967.506192</v>
      </c>
      <c r="J31" s="38"/>
      <c r="K31" s="46"/>
    </row>
    <row r="32" spans="1:11" ht="15.75">
      <c r="A32" s="2" t="s">
        <v>40</v>
      </c>
      <c r="B32" s="9" t="s">
        <v>85</v>
      </c>
      <c r="C32" s="13">
        <v>972</v>
      </c>
      <c r="D32" s="13">
        <v>2.20261</v>
      </c>
      <c r="E32" s="6" t="s">
        <v>10</v>
      </c>
      <c r="F32" s="14" t="s">
        <v>10</v>
      </c>
      <c r="G32" s="6" t="s">
        <v>10</v>
      </c>
      <c r="H32" s="14" t="s">
        <v>10</v>
      </c>
      <c r="I32" s="5">
        <f>C32*D32*1.2+0.01</f>
        <v>2569.134304</v>
      </c>
      <c r="J32" s="38"/>
      <c r="K32" s="46"/>
    </row>
    <row r="33" spans="1:11" ht="15.75">
      <c r="A33" s="2" t="s">
        <v>41</v>
      </c>
      <c r="B33" s="9" t="s">
        <v>86</v>
      </c>
      <c r="C33" s="6">
        <v>1670</v>
      </c>
      <c r="D33" s="13">
        <v>2.28778</v>
      </c>
      <c r="E33" s="6" t="s">
        <v>10</v>
      </c>
      <c r="F33" s="14" t="s">
        <v>10</v>
      </c>
      <c r="G33" s="6" t="s">
        <v>10</v>
      </c>
      <c r="H33" s="14" t="s">
        <v>10</v>
      </c>
      <c r="I33" s="5">
        <f>C33*D33*1.2</f>
        <v>4584.71112</v>
      </c>
      <c r="J33" s="38"/>
      <c r="K33" s="46"/>
    </row>
    <row r="34" spans="1:11" ht="15.75">
      <c r="A34" s="2" t="s">
        <v>42</v>
      </c>
      <c r="B34" s="9" t="s">
        <v>87</v>
      </c>
      <c r="C34" s="6">
        <v>3012</v>
      </c>
      <c r="D34" s="13">
        <v>2.11647</v>
      </c>
      <c r="E34" s="6" t="s">
        <v>10</v>
      </c>
      <c r="F34" s="14" t="s">
        <v>10</v>
      </c>
      <c r="G34" s="6" t="s">
        <v>10</v>
      </c>
      <c r="H34" s="14" t="s">
        <v>10</v>
      </c>
      <c r="I34" s="5">
        <f>C34*D34*1.2</f>
        <v>7649.769168</v>
      </c>
      <c r="J34" s="38"/>
      <c r="K34" s="47"/>
    </row>
    <row r="35" spans="1:11" ht="49.5" customHeight="1">
      <c r="A35" s="31">
        <v>3</v>
      </c>
      <c r="B35" s="33" t="s">
        <v>67</v>
      </c>
      <c r="C35" s="34">
        <f>SUM(C37:C48)</f>
        <v>50096</v>
      </c>
      <c r="D35" s="35"/>
      <c r="E35" s="34">
        <f>SUM(E37:E48)</f>
        <v>0</v>
      </c>
      <c r="F35" s="50" t="s">
        <v>75</v>
      </c>
      <c r="G35" s="34">
        <f>SUM(G37:G48)</f>
        <v>0</v>
      </c>
      <c r="H35" s="42"/>
      <c r="I35" s="39">
        <f>SUM(I37:I48)</f>
        <v>134076.664992</v>
      </c>
      <c r="J35" s="38">
        <v>0.0393</v>
      </c>
      <c r="K35" s="45" t="s">
        <v>74</v>
      </c>
    </row>
    <row r="36" spans="1:11" ht="49.5" customHeight="1">
      <c r="A36" s="31"/>
      <c r="B36" s="33"/>
      <c r="C36" s="34"/>
      <c r="D36" s="35"/>
      <c r="E36" s="34"/>
      <c r="F36" s="51"/>
      <c r="G36" s="34"/>
      <c r="H36" s="42"/>
      <c r="I36" s="39"/>
      <c r="J36" s="38"/>
      <c r="K36" s="46"/>
    </row>
    <row r="37" spans="1:11" ht="15.75">
      <c r="A37" s="2" t="s">
        <v>43</v>
      </c>
      <c r="B37" s="9" t="s">
        <v>76</v>
      </c>
      <c r="C37" s="6">
        <f>312+713+340+2145+16653+533</f>
        <v>20696</v>
      </c>
      <c r="D37" s="13">
        <f>D9</f>
        <v>2.18805</v>
      </c>
      <c r="E37" s="6" t="s">
        <v>10</v>
      </c>
      <c r="F37" s="14" t="s">
        <v>10</v>
      </c>
      <c r="G37" s="6" t="s">
        <v>10</v>
      </c>
      <c r="H37" s="6" t="s">
        <v>10</v>
      </c>
      <c r="I37" s="5">
        <f>C37*D37*1.2+0.01</f>
        <v>54340.66936</v>
      </c>
      <c r="J37" s="38"/>
      <c r="K37" s="46"/>
    </row>
    <row r="38" spans="1:11" ht="15.75">
      <c r="A38" s="2" t="s">
        <v>44</v>
      </c>
      <c r="B38" s="9" t="s">
        <v>77</v>
      </c>
      <c r="C38" s="6">
        <f>533+609+1595+695+9327+287</f>
        <v>13046</v>
      </c>
      <c r="D38" s="13">
        <f>D10</f>
        <v>2.35085</v>
      </c>
      <c r="E38" s="6" t="s">
        <v>10</v>
      </c>
      <c r="F38" s="14" t="s">
        <v>10</v>
      </c>
      <c r="G38" s="6" t="s">
        <v>10</v>
      </c>
      <c r="H38" s="14" t="s">
        <v>10</v>
      </c>
      <c r="I38" s="5">
        <f>C38*D38*1.2</f>
        <v>36803.02692</v>
      </c>
      <c r="J38" s="38"/>
      <c r="K38" s="46"/>
    </row>
    <row r="39" spans="1:11" ht="15.75">
      <c r="A39" s="2" t="s">
        <v>45</v>
      </c>
      <c r="B39" s="9" t="s">
        <v>78</v>
      </c>
      <c r="C39" s="6">
        <f>314+1869+12800+533+657+181</f>
        <v>16354</v>
      </c>
      <c r="D39" s="13">
        <f>D11</f>
        <v>2.18769</v>
      </c>
      <c r="E39" s="6" t="s">
        <v>10</v>
      </c>
      <c r="F39" s="14" t="s">
        <v>10</v>
      </c>
      <c r="G39" s="6" t="s">
        <v>10</v>
      </c>
      <c r="H39" s="14" t="s">
        <v>10</v>
      </c>
      <c r="I39" s="5">
        <f>C39*D39*1.2-0.01</f>
        <v>42932.968711999994</v>
      </c>
      <c r="J39" s="38"/>
      <c r="K39" s="46"/>
    </row>
    <row r="40" spans="1:11" ht="15.75">
      <c r="A40" s="2" t="s">
        <v>46</v>
      </c>
      <c r="B40" s="9" t="s">
        <v>79</v>
      </c>
      <c r="C40" s="6" t="s">
        <v>10</v>
      </c>
      <c r="D40" s="14" t="s">
        <v>10</v>
      </c>
      <c r="E40" s="6" t="s">
        <v>10</v>
      </c>
      <c r="F40" s="14" t="s">
        <v>10</v>
      </c>
      <c r="G40" s="6" t="s">
        <v>10</v>
      </c>
      <c r="H40" s="14" t="s">
        <v>10</v>
      </c>
      <c r="I40" s="14" t="s">
        <v>10</v>
      </c>
      <c r="J40" s="38"/>
      <c r="K40" s="46"/>
    </row>
    <row r="41" spans="1:11" ht="15.75">
      <c r="A41" s="2" t="s">
        <v>47</v>
      </c>
      <c r="B41" s="9" t="s">
        <v>80</v>
      </c>
      <c r="C41" s="6" t="s">
        <v>10</v>
      </c>
      <c r="D41" s="14" t="s">
        <v>10</v>
      </c>
      <c r="E41" s="6" t="s">
        <v>10</v>
      </c>
      <c r="F41" s="14" t="s">
        <v>10</v>
      </c>
      <c r="G41" s="6" t="s">
        <v>10</v>
      </c>
      <c r="H41" s="14" t="s">
        <v>10</v>
      </c>
      <c r="I41" s="14" t="s">
        <v>10</v>
      </c>
      <c r="J41" s="38"/>
      <c r="K41" s="46"/>
    </row>
    <row r="42" spans="1:11" ht="15.75">
      <c r="A42" s="2" t="s">
        <v>48</v>
      </c>
      <c r="B42" s="9" t="s">
        <v>81</v>
      </c>
      <c r="C42" s="6" t="s">
        <v>10</v>
      </c>
      <c r="D42" s="14" t="s">
        <v>10</v>
      </c>
      <c r="E42" s="6" t="s">
        <v>10</v>
      </c>
      <c r="F42" s="14" t="s">
        <v>10</v>
      </c>
      <c r="G42" s="6" t="s">
        <v>10</v>
      </c>
      <c r="H42" s="14" t="s">
        <v>10</v>
      </c>
      <c r="I42" s="14" t="s">
        <v>10</v>
      </c>
      <c r="J42" s="38"/>
      <c r="K42" s="46"/>
    </row>
    <row r="43" spans="1:11" ht="15.75" customHeight="1">
      <c r="A43" s="2" t="s">
        <v>49</v>
      </c>
      <c r="B43" s="9" t="s">
        <v>82</v>
      </c>
      <c r="C43" s="6" t="s">
        <v>10</v>
      </c>
      <c r="D43" s="14" t="s">
        <v>10</v>
      </c>
      <c r="E43" s="6" t="s">
        <v>10</v>
      </c>
      <c r="F43" s="14" t="s">
        <v>10</v>
      </c>
      <c r="G43" s="6" t="s">
        <v>10</v>
      </c>
      <c r="H43" s="14" t="s">
        <v>10</v>
      </c>
      <c r="I43" s="14" t="s">
        <v>10</v>
      </c>
      <c r="J43" s="38"/>
      <c r="K43" s="46"/>
    </row>
    <row r="44" spans="1:11" ht="15.75">
      <c r="A44" s="2" t="s">
        <v>50</v>
      </c>
      <c r="B44" s="9" t="s">
        <v>83</v>
      </c>
      <c r="C44" s="6" t="s">
        <v>10</v>
      </c>
      <c r="D44" s="14" t="s">
        <v>10</v>
      </c>
      <c r="E44" s="6" t="s">
        <v>10</v>
      </c>
      <c r="F44" s="14" t="s">
        <v>10</v>
      </c>
      <c r="G44" s="6" t="s">
        <v>10</v>
      </c>
      <c r="H44" s="14" t="s">
        <v>10</v>
      </c>
      <c r="I44" s="14" t="s">
        <v>10</v>
      </c>
      <c r="J44" s="38"/>
      <c r="K44" s="46"/>
    </row>
    <row r="45" spans="1:11" ht="15.75">
      <c r="A45" s="2" t="s">
        <v>51</v>
      </c>
      <c r="B45" s="9" t="s">
        <v>84</v>
      </c>
      <c r="C45" s="6" t="s">
        <v>10</v>
      </c>
      <c r="D45" s="14" t="s">
        <v>10</v>
      </c>
      <c r="E45" s="6" t="s">
        <v>10</v>
      </c>
      <c r="F45" s="14" t="s">
        <v>10</v>
      </c>
      <c r="G45" s="6" t="s">
        <v>10</v>
      </c>
      <c r="H45" s="14" t="s">
        <v>10</v>
      </c>
      <c r="I45" s="14" t="s">
        <v>10</v>
      </c>
      <c r="J45" s="38"/>
      <c r="K45" s="46"/>
    </row>
    <row r="46" spans="1:11" ht="15.75">
      <c r="A46" s="2" t="s">
        <v>52</v>
      </c>
      <c r="B46" s="9" t="s">
        <v>85</v>
      </c>
      <c r="C46" s="6" t="s">
        <v>10</v>
      </c>
      <c r="D46" s="14" t="s">
        <v>10</v>
      </c>
      <c r="E46" s="6" t="s">
        <v>10</v>
      </c>
      <c r="F46" s="14" t="s">
        <v>10</v>
      </c>
      <c r="G46" s="6" t="s">
        <v>10</v>
      </c>
      <c r="H46" s="14" t="s">
        <v>10</v>
      </c>
      <c r="I46" s="14" t="s">
        <v>10</v>
      </c>
      <c r="J46" s="38"/>
      <c r="K46" s="46"/>
    </row>
    <row r="47" spans="1:11" ht="15.75">
      <c r="A47" s="2" t="s">
        <v>53</v>
      </c>
      <c r="B47" s="9" t="s">
        <v>86</v>
      </c>
      <c r="C47" s="6" t="s">
        <v>10</v>
      </c>
      <c r="D47" s="14" t="s">
        <v>10</v>
      </c>
      <c r="E47" s="6" t="s">
        <v>10</v>
      </c>
      <c r="F47" s="14" t="s">
        <v>10</v>
      </c>
      <c r="G47" s="6" t="s">
        <v>10</v>
      </c>
      <c r="H47" s="14" t="s">
        <v>10</v>
      </c>
      <c r="I47" s="14" t="s">
        <v>10</v>
      </c>
      <c r="J47" s="38"/>
      <c r="K47" s="46"/>
    </row>
    <row r="48" spans="1:11" ht="15.75">
      <c r="A48" s="2" t="s">
        <v>54</v>
      </c>
      <c r="B48" s="9" t="s">
        <v>87</v>
      </c>
      <c r="C48" s="6" t="s">
        <v>10</v>
      </c>
      <c r="D48" s="14" t="s">
        <v>10</v>
      </c>
      <c r="E48" s="6" t="s">
        <v>10</v>
      </c>
      <c r="F48" s="14" t="s">
        <v>10</v>
      </c>
      <c r="G48" s="6" t="s">
        <v>10</v>
      </c>
      <c r="H48" s="14" t="s">
        <v>10</v>
      </c>
      <c r="I48" s="14" t="s">
        <v>10</v>
      </c>
      <c r="J48" s="38"/>
      <c r="K48" s="47"/>
    </row>
    <row r="49" spans="1:11" ht="44.25" customHeight="1">
      <c r="A49" s="31">
        <v>4</v>
      </c>
      <c r="B49" s="33" t="s">
        <v>68</v>
      </c>
      <c r="C49" s="34">
        <f>SUM(C51:C62)</f>
        <v>535172</v>
      </c>
      <c r="D49" s="35"/>
      <c r="E49" s="34">
        <f>SUM(E51:E62)</f>
        <v>530435</v>
      </c>
      <c r="F49" s="50" t="s">
        <v>75</v>
      </c>
      <c r="G49" s="34">
        <f>SUM(G51:G62)</f>
        <v>0</v>
      </c>
      <c r="H49" s="42"/>
      <c r="I49" s="39">
        <f>SUM(I51:I62)</f>
        <v>2783947.5610640002</v>
      </c>
      <c r="J49" s="38">
        <v>0.0393</v>
      </c>
      <c r="K49" s="45" t="s">
        <v>74</v>
      </c>
    </row>
    <row r="50" spans="1:11" ht="44.25" customHeight="1">
      <c r="A50" s="31"/>
      <c r="B50" s="33"/>
      <c r="C50" s="34"/>
      <c r="D50" s="35"/>
      <c r="E50" s="34"/>
      <c r="F50" s="51"/>
      <c r="G50" s="34"/>
      <c r="H50" s="42"/>
      <c r="I50" s="39"/>
      <c r="J50" s="38"/>
      <c r="K50" s="46"/>
    </row>
    <row r="51" spans="1:11" ht="15.75">
      <c r="A51" s="2" t="s">
        <v>55</v>
      </c>
      <c r="B51" s="9" t="s">
        <v>76</v>
      </c>
      <c r="C51" s="6">
        <f>4818+486+798+1407+1150+646</f>
        <v>9305</v>
      </c>
      <c r="D51" s="13">
        <f>D23</f>
        <v>2.18805</v>
      </c>
      <c r="E51" s="6">
        <f>580+70069+5923+1079-25620</f>
        <v>52031</v>
      </c>
      <c r="F51" s="13">
        <v>2.11793</v>
      </c>
      <c r="G51" s="6" t="s">
        <v>10</v>
      </c>
      <c r="H51" s="14" t="s">
        <v>10</v>
      </c>
      <c r="I51" s="5">
        <f>221783.025216-65113.65</f>
        <v>156669.37521600001</v>
      </c>
      <c r="J51" s="38"/>
      <c r="K51" s="46"/>
    </row>
    <row r="52" spans="1:13" ht="15.75">
      <c r="A52" s="2" t="s">
        <v>56</v>
      </c>
      <c r="B52" s="9" t="s">
        <v>77</v>
      </c>
      <c r="C52" s="6">
        <f>3738+489+793+1401+1151+663</f>
        <v>8235</v>
      </c>
      <c r="D52" s="13">
        <f aca="true" t="shared" si="0" ref="D52:D62">D24</f>
        <v>2.35085</v>
      </c>
      <c r="E52" s="6">
        <f>580+57237+273+1168</f>
        <v>59258</v>
      </c>
      <c r="F52" s="13">
        <v>2.28073</v>
      </c>
      <c r="G52" s="6" t="s">
        <v>10</v>
      </c>
      <c r="H52" s="14" t="s">
        <v>10</v>
      </c>
      <c r="I52" s="5">
        <f>C52*D52*1.2+E52*F52*1.2-0.01</f>
        <v>185412.887708</v>
      </c>
      <c r="J52" s="38"/>
      <c r="K52" s="46"/>
      <c r="M52" s="22"/>
    </row>
    <row r="53" spans="1:11" ht="15.75">
      <c r="A53" s="2" t="s">
        <v>57</v>
      </c>
      <c r="B53" s="9" t="s">
        <v>78</v>
      </c>
      <c r="C53" s="6">
        <f>2409+460+794+1422+1151+662</f>
        <v>6898</v>
      </c>
      <c r="D53" s="13">
        <f t="shared" si="0"/>
        <v>2.18769</v>
      </c>
      <c r="E53" s="6">
        <f>580+50557+5175+1120</f>
        <v>57432</v>
      </c>
      <c r="F53" s="13">
        <v>2.11757</v>
      </c>
      <c r="G53" s="6" t="s">
        <v>10</v>
      </c>
      <c r="H53" s="14" t="s">
        <v>10</v>
      </c>
      <c r="I53" s="5">
        <f>C53*D53*1.2+E53*F53*1.2-0.01</f>
        <v>164048.349032</v>
      </c>
      <c r="J53" s="38"/>
      <c r="K53" s="46"/>
    </row>
    <row r="54" spans="1:11" ht="15.75">
      <c r="A54" s="2" t="s">
        <v>58</v>
      </c>
      <c r="B54" s="9" t="s">
        <v>79</v>
      </c>
      <c r="C54" s="6">
        <f>12905+307+1441+1153+16627+284+2243+2132+9254+5436+1720+460+2409+8166+698+533+794+657</f>
        <v>67219</v>
      </c>
      <c r="D54" s="13">
        <f t="shared" si="0"/>
        <v>2.12221</v>
      </c>
      <c r="E54" s="6">
        <f>1132+53508+580</f>
        <v>55220</v>
      </c>
      <c r="F54" s="13">
        <v>2.05209</v>
      </c>
      <c r="G54" s="6" t="s">
        <v>10</v>
      </c>
      <c r="H54" s="14" t="s">
        <v>10</v>
      </c>
      <c r="I54" s="5">
        <f>C54*D54*1.2+E54*F54*1.2-0.01</f>
        <v>307163.082548</v>
      </c>
      <c r="J54" s="38"/>
      <c r="K54" s="46"/>
    </row>
    <row r="55" spans="1:11" ht="15.75">
      <c r="A55" s="2" t="s">
        <v>59</v>
      </c>
      <c r="B55" s="9" t="s">
        <v>80</v>
      </c>
      <c r="C55" s="6">
        <f>533+252+9414+291+1435+656+1151+10501+2409+106+1534+708+437+1662+2363+793</f>
        <v>34245</v>
      </c>
      <c r="D55" s="13">
        <f t="shared" si="0"/>
        <v>2.14659</v>
      </c>
      <c r="E55" s="6">
        <f>39990+5601+1269+580</f>
        <v>47440</v>
      </c>
      <c r="F55" s="13">
        <v>2.07647</v>
      </c>
      <c r="G55" s="6" t="s">
        <v>10</v>
      </c>
      <c r="H55" s="14" t="s">
        <v>10</v>
      </c>
      <c r="I55" s="5">
        <f>C55*D55*1.2+E55*F55*1.2+0.04</f>
        <v>206421.29362</v>
      </c>
      <c r="J55" s="38"/>
      <c r="K55" s="46"/>
    </row>
    <row r="56" spans="1:11" ht="15.75">
      <c r="A56" s="2" t="s">
        <v>60</v>
      </c>
      <c r="B56" s="9" t="s">
        <v>81</v>
      </c>
      <c r="C56" s="6">
        <f>1742+533+10033+9886+607+794+1151+1713+655+11311+2260+435+5696+2409+1562+1405+273+274</f>
        <v>52739</v>
      </c>
      <c r="D56" s="13">
        <f t="shared" si="0"/>
        <v>2.24874</v>
      </c>
      <c r="E56" s="6">
        <f>4716+18686+1404+580+8</f>
        <v>25394</v>
      </c>
      <c r="F56" s="13">
        <v>2.17862</v>
      </c>
      <c r="G56" s="6" t="s">
        <v>10</v>
      </c>
      <c r="H56" s="14" t="s">
        <v>10</v>
      </c>
      <c r="I56" s="5">
        <f>C56*D56*1.2+E56*F56*1.2-0.01</f>
        <v>208704.20016799998</v>
      </c>
      <c r="J56" s="38"/>
      <c r="K56" s="46"/>
    </row>
    <row r="57" spans="1:11" ht="15.75" customHeight="1">
      <c r="A57" s="2" t="s">
        <v>61</v>
      </c>
      <c r="B57" s="9" t="s">
        <v>82</v>
      </c>
      <c r="C57" s="6">
        <f>1430+1151+697+733+7886+533+437+798+654+2409+19243+225+683+10652+1619+1702+2610+260</f>
        <v>53722</v>
      </c>
      <c r="D57" s="13">
        <f t="shared" si="0"/>
        <v>2.21827</v>
      </c>
      <c r="E57" s="6">
        <f>14+13502+14181+580+1405</f>
        <v>29682</v>
      </c>
      <c r="F57" s="13">
        <v>2.16713</v>
      </c>
      <c r="G57" s="6" t="s">
        <v>10</v>
      </c>
      <c r="H57" s="14" t="s">
        <v>10</v>
      </c>
      <c r="I57" s="5">
        <f>C57*D57*1.2+E57*F57*1.2+0.04</f>
        <v>220193.62431999997</v>
      </c>
      <c r="J57" s="38"/>
      <c r="K57" s="46"/>
    </row>
    <row r="58" spans="1:11" ht="15.75">
      <c r="A58" s="2" t="s">
        <v>62</v>
      </c>
      <c r="B58" s="9" t="s">
        <v>83</v>
      </c>
      <c r="C58" s="6">
        <f>1569+696+13927+533+1153+798+1435+242+10620+3678+2409+655+8793+436+299+1804</f>
        <v>49047</v>
      </c>
      <c r="D58" s="13">
        <f t="shared" si="0"/>
        <v>2.22636</v>
      </c>
      <c r="E58" s="6">
        <f>580+22228</f>
        <v>22808</v>
      </c>
      <c r="F58" s="13">
        <v>2.17522</v>
      </c>
      <c r="G58" s="6" t="s">
        <v>10</v>
      </c>
      <c r="H58" s="14" t="s">
        <v>10</v>
      </c>
      <c r="I58" s="5">
        <f>C58*D58*1.2+E58*F58*1.2+0.02</f>
        <v>190570.45601599998</v>
      </c>
      <c r="J58" s="38"/>
      <c r="K58" s="46"/>
    </row>
    <row r="59" spans="1:11" ht="15.75">
      <c r="A59" s="2" t="s">
        <v>63</v>
      </c>
      <c r="B59" s="9" t="s">
        <v>84</v>
      </c>
      <c r="C59" s="6">
        <f>10048+1686+342+1153+2409+800+1473+533+658+790+9206+437+1426+11937+233+1644+657</f>
        <v>45432</v>
      </c>
      <c r="D59" s="13">
        <f t="shared" si="0"/>
        <v>2.27282</v>
      </c>
      <c r="E59" s="6">
        <f>48715+582+3402</f>
        <v>52699</v>
      </c>
      <c r="F59" s="13">
        <v>2.22168</v>
      </c>
      <c r="G59" s="6" t="s">
        <v>10</v>
      </c>
      <c r="H59" s="14" t="s">
        <v>10</v>
      </c>
      <c r="I59" s="5">
        <f>C59*D59*1.2+E59*F59*1.2-0.03</f>
        <v>264406.857072</v>
      </c>
      <c r="J59" s="38"/>
      <c r="K59" s="46"/>
    </row>
    <row r="60" spans="1:11" ht="15.75">
      <c r="A60" s="2" t="s">
        <v>64</v>
      </c>
      <c r="B60" s="9" t="s">
        <v>85</v>
      </c>
      <c r="C60" s="6">
        <f>2409+213+1422+662+10313+1752+1153+11112+436+700+333+16910+533+801+1870+4431+12960</f>
        <v>68010</v>
      </c>
      <c r="D60" s="13">
        <f t="shared" si="0"/>
        <v>2.20261</v>
      </c>
      <c r="E60" s="6">
        <f>581+3852+43366</f>
        <v>47799</v>
      </c>
      <c r="F60" s="13">
        <v>2.15147</v>
      </c>
      <c r="G60" s="6" t="s">
        <v>10</v>
      </c>
      <c r="H60" s="14" t="s">
        <v>10</v>
      </c>
      <c r="I60" s="5">
        <f>268910.164036+34254.98</f>
        <v>303165.14403599995</v>
      </c>
      <c r="J60" s="38"/>
      <c r="K60" s="46"/>
    </row>
    <row r="61" spans="1:11" ht="15.75">
      <c r="A61" s="2" t="s">
        <v>65</v>
      </c>
      <c r="B61" s="9" t="s">
        <v>86</v>
      </c>
      <c r="C61" s="6">
        <f>1425+292+4361+7973+277+1951+9869+1788+533+695+801+1152+12860+667+453+1790+2409+11520</f>
        <v>60816</v>
      </c>
      <c r="D61" s="13">
        <f t="shared" si="0"/>
        <v>2.28778</v>
      </c>
      <c r="E61" s="6">
        <f>1+581+31484+8666</f>
        <v>40732</v>
      </c>
      <c r="F61" s="13">
        <v>2.23664</v>
      </c>
      <c r="G61" s="6" t="s">
        <v>10</v>
      </c>
      <c r="H61" s="14" t="s">
        <v>10</v>
      </c>
      <c r="I61" s="5">
        <f>244657.458032+31626.28</f>
        <v>276283.738032</v>
      </c>
      <c r="J61" s="38"/>
      <c r="K61" s="46"/>
    </row>
    <row r="62" spans="1:17" ht="15.75">
      <c r="A62" s="2" t="s">
        <v>66</v>
      </c>
      <c r="B62" s="9" t="s">
        <v>87</v>
      </c>
      <c r="C62" s="6">
        <f>533+706+32500+1154+10812+1427+2939+472+802+1502+2409+305+2106+10289+689+8258+2601</f>
        <v>79504</v>
      </c>
      <c r="D62" s="13">
        <f t="shared" si="0"/>
        <v>2.11647</v>
      </c>
      <c r="E62" s="6">
        <f>32792+581+6567</f>
        <v>39940</v>
      </c>
      <c r="F62" s="13">
        <v>2.06533</v>
      </c>
      <c r="G62" s="6" t="s">
        <v>10</v>
      </c>
      <c r="H62" s="14" t="s">
        <v>10</v>
      </c>
      <c r="I62" s="5">
        <f>C62*D62*1.2+E62*F62*1.2+0.02</f>
        <v>300908.553296</v>
      </c>
      <c r="J62" s="38"/>
      <c r="K62" s="47"/>
      <c r="Q62" s="24"/>
    </row>
    <row r="63" spans="1:11" s="21" customFormat="1" ht="94.5">
      <c r="A63" s="11">
        <v>3</v>
      </c>
      <c r="B63" s="10" t="s">
        <v>69</v>
      </c>
      <c r="C63" s="54">
        <f>763700+252000+510000</f>
        <v>1525700</v>
      </c>
      <c r="D63" s="32" t="s">
        <v>12</v>
      </c>
      <c r="E63" s="32"/>
      <c r="F63" s="32"/>
      <c r="G63" s="32"/>
      <c r="H63" s="32"/>
      <c r="I63" s="32"/>
      <c r="J63" s="4">
        <v>0.0393</v>
      </c>
      <c r="K63" s="8" t="s">
        <v>74</v>
      </c>
    </row>
    <row r="64" spans="1:11" s="21" customFormat="1" ht="94.5">
      <c r="A64" s="11"/>
      <c r="B64" s="10" t="s">
        <v>89</v>
      </c>
      <c r="C64" s="55"/>
      <c r="D64" s="32" t="s">
        <v>12</v>
      </c>
      <c r="E64" s="32"/>
      <c r="F64" s="32"/>
      <c r="G64" s="32"/>
      <c r="H64" s="32"/>
      <c r="I64" s="32"/>
      <c r="J64" s="4">
        <v>0.0393</v>
      </c>
      <c r="K64" s="8" t="s">
        <v>74</v>
      </c>
    </row>
    <row r="65" spans="1:11" s="21" customFormat="1" ht="94.5">
      <c r="A65" s="11"/>
      <c r="B65" s="10" t="s">
        <v>90</v>
      </c>
      <c r="C65" s="56"/>
      <c r="D65" s="32" t="s">
        <v>12</v>
      </c>
      <c r="E65" s="32"/>
      <c r="F65" s="32"/>
      <c r="G65" s="32"/>
      <c r="H65" s="32"/>
      <c r="I65" s="32"/>
      <c r="J65" s="4">
        <v>0.0393</v>
      </c>
      <c r="K65" s="8" t="s">
        <v>74</v>
      </c>
    </row>
    <row r="66" spans="1:11" s="21" customFormat="1" ht="94.5">
      <c r="A66" s="11">
        <v>4</v>
      </c>
      <c r="B66" s="10" t="s">
        <v>70</v>
      </c>
      <c r="C66" s="3">
        <v>48000</v>
      </c>
      <c r="D66" s="32" t="s">
        <v>12</v>
      </c>
      <c r="E66" s="32"/>
      <c r="F66" s="32"/>
      <c r="G66" s="32"/>
      <c r="H66" s="32"/>
      <c r="I66" s="32"/>
      <c r="J66" s="4">
        <v>0.0393</v>
      </c>
      <c r="K66" s="8" t="s">
        <v>74</v>
      </c>
    </row>
    <row r="67" spans="1:11" s="21" customFormat="1" ht="25.5" customHeight="1">
      <c r="A67" s="44">
        <v>3</v>
      </c>
      <c r="B67" s="32" t="s">
        <v>13</v>
      </c>
      <c r="C67" s="12" t="s">
        <v>14</v>
      </c>
      <c r="D67" s="36" t="s">
        <v>15</v>
      </c>
      <c r="E67" s="36"/>
      <c r="F67" s="36"/>
      <c r="G67" s="36"/>
      <c r="H67" s="36"/>
      <c r="I67" s="36"/>
      <c r="J67" s="36"/>
      <c r="K67" s="36"/>
    </row>
    <row r="68" spans="1:11" s="21" customFormat="1" ht="25.5" customHeight="1">
      <c r="A68" s="44"/>
      <c r="B68" s="32"/>
      <c r="C68" s="12" t="s">
        <v>16</v>
      </c>
      <c r="D68" s="36" t="s">
        <v>15</v>
      </c>
      <c r="E68" s="36"/>
      <c r="F68" s="36"/>
      <c r="G68" s="36"/>
      <c r="H68" s="36"/>
      <c r="I68" s="36"/>
      <c r="J68" s="36"/>
      <c r="K68" s="36"/>
    </row>
    <row r="69" spans="1:11" s="21" customFormat="1" ht="25.5" customHeight="1">
      <c r="A69" s="44"/>
      <c r="B69" s="32"/>
      <c r="C69" s="12" t="s">
        <v>17</v>
      </c>
      <c r="D69" s="36" t="s">
        <v>15</v>
      </c>
      <c r="E69" s="36"/>
      <c r="F69" s="36"/>
      <c r="G69" s="36"/>
      <c r="H69" s="36"/>
      <c r="I69" s="36"/>
      <c r="J69" s="36"/>
      <c r="K69" s="36"/>
    </row>
    <row r="70" spans="1:11" s="21" customFormat="1" ht="25.5" customHeight="1">
      <c r="A70" s="44"/>
      <c r="B70" s="32"/>
      <c r="C70" s="12" t="s">
        <v>18</v>
      </c>
      <c r="D70" s="36" t="s">
        <v>15</v>
      </c>
      <c r="E70" s="36"/>
      <c r="F70" s="36"/>
      <c r="G70" s="36"/>
      <c r="H70" s="36"/>
      <c r="I70" s="36"/>
      <c r="J70" s="36"/>
      <c r="K70" s="36"/>
    </row>
    <row r="72" spans="1:11" ht="36" customHeight="1">
      <c r="A72" s="43" t="s">
        <v>71</v>
      </c>
      <c r="B72" s="43"/>
      <c r="C72" s="43"/>
      <c r="D72" s="43"/>
      <c r="E72" s="43"/>
      <c r="F72" s="43"/>
      <c r="G72" s="43"/>
      <c r="H72" s="43"/>
      <c r="I72" s="43"/>
      <c r="J72" s="43"/>
      <c r="K72" s="43"/>
    </row>
  </sheetData>
  <sheetProtection/>
  <mergeCells count="65">
    <mergeCell ref="B7:B8"/>
    <mergeCell ref="A7:A8"/>
    <mergeCell ref="E7:E8"/>
    <mergeCell ref="D7:D8"/>
    <mergeCell ref="F7:F8"/>
    <mergeCell ref="G7:G8"/>
    <mergeCell ref="F49:F50"/>
    <mergeCell ref="H35:H36"/>
    <mergeCell ref="C7:C8"/>
    <mergeCell ref="D64:I64"/>
    <mergeCell ref="D65:I65"/>
    <mergeCell ref="C63:C65"/>
    <mergeCell ref="C35:C36"/>
    <mergeCell ref="H7:H8"/>
    <mergeCell ref="E21:E22"/>
    <mergeCell ref="F21:F22"/>
    <mergeCell ref="E35:E36"/>
    <mergeCell ref="F35:F36"/>
    <mergeCell ref="A72:K72"/>
    <mergeCell ref="I49:I50"/>
    <mergeCell ref="J49:J62"/>
    <mergeCell ref="I35:I36"/>
    <mergeCell ref="J35:J48"/>
    <mergeCell ref="H49:H50"/>
    <mergeCell ref="D66:I66"/>
    <mergeCell ref="A67:A70"/>
    <mergeCell ref="K35:K48"/>
    <mergeCell ref="K49:K62"/>
    <mergeCell ref="B2:K2"/>
    <mergeCell ref="J21:J34"/>
    <mergeCell ref="G21:G22"/>
    <mergeCell ref="I21:I22"/>
    <mergeCell ref="J6:J20"/>
    <mergeCell ref="E5:F5"/>
    <mergeCell ref="I7:I8"/>
    <mergeCell ref="H21:H22"/>
    <mergeCell ref="K6:K20"/>
    <mergeCell ref="K21:K34"/>
    <mergeCell ref="B67:B70"/>
    <mergeCell ref="D67:K67"/>
    <mergeCell ref="D68:K68"/>
    <mergeCell ref="D69:K69"/>
    <mergeCell ref="D70:K70"/>
    <mergeCell ref="G49:G50"/>
    <mergeCell ref="B49:B50"/>
    <mergeCell ref="C49:C50"/>
    <mergeCell ref="D49:D50"/>
    <mergeCell ref="E49:E50"/>
    <mergeCell ref="A35:A36"/>
    <mergeCell ref="D63:I63"/>
    <mergeCell ref="A21:A22"/>
    <mergeCell ref="B21:B22"/>
    <mergeCell ref="C21:C22"/>
    <mergeCell ref="D21:D22"/>
    <mergeCell ref="D35:D36"/>
    <mergeCell ref="G35:G36"/>
    <mergeCell ref="A49:A50"/>
    <mergeCell ref="B35:B36"/>
    <mergeCell ref="A4:A5"/>
    <mergeCell ref="B4:B5"/>
    <mergeCell ref="I4:I5"/>
    <mergeCell ref="J4:J5"/>
    <mergeCell ref="K4:K5"/>
    <mergeCell ref="C5:D5"/>
    <mergeCell ref="G5:H5"/>
  </mergeCells>
  <printOptions/>
  <pageMargins left="0.7086614173228347" right="0.31496062992125984" top="0.5511811023622047" bottom="0.35433070866141736" header="0" footer="0"/>
  <pageSetup fitToHeight="0" fitToWidth="1" horizontalDpi="600" verticalDpi="600" orientation="portrait" paperSize="9" scale="7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Nikolaevna</dc:creator>
  <cp:keywords/>
  <dc:description/>
  <cp:lastModifiedBy>3</cp:lastModifiedBy>
  <cp:lastPrinted>2020-02-21T03:35:43Z</cp:lastPrinted>
  <dcterms:created xsi:type="dcterms:W3CDTF">2015-06-05T18:19:34Z</dcterms:created>
  <dcterms:modified xsi:type="dcterms:W3CDTF">2021-02-26T04:02:06Z</dcterms:modified>
  <cp:category/>
  <cp:version/>
  <cp:contentType/>
  <cp:contentStatus/>
</cp:coreProperties>
</file>