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leks\Desktop\"/>
    </mc:Choice>
  </mc:AlternateContent>
  <xr:revisionPtr revIDLastSave="0" documentId="13_ncr:1_{E95B1067-8CD7-4A5D-9EC4-54B28B136754}" xr6:coauthVersionLast="47" xr6:coauthVersionMax="47" xr10:uidLastSave="{00000000-0000-0000-0000-000000000000}"/>
  <bookViews>
    <workbookView xWindow="-108" yWindow="-108" windowWidth="23256" windowHeight="12576" tabRatio="840" firstSheet="7" activeTab="7" xr2:uid="{00000000-000D-0000-FFFF-FFFF00000000}"/>
  </bookViews>
  <sheets>
    <sheet name="TEHSHEET" sheetId="1" state="hidden" r:id="rId1"/>
    <sheet name="et_union" sheetId="2" state="hidden" r:id="rId2"/>
    <sheet name="Инструкция" sheetId="3" r:id="rId3"/>
    <sheet name="REESTR_MO" sheetId="4" state="hidden" r:id="rId4"/>
    <sheet name="REESTR_ORG" sheetId="5" state="hidden" r:id="rId5"/>
    <sheet name="ATTACH_DOC" sheetId="6" state="hidden" r:id="rId6"/>
    <sheet name="Информация" sheetId="7" state="hidden" r:id="rId7"/>
    <sheet name="Титульный" sheetId="8" r:id="rId8"/>
    <sheet name="Список листов" sheetId="9" r:id="rId9"/>
    <sheet name="ф.2.1 ИндИнф (Ин)" sheetId="10" state="hidden" r:id="rId10"/>
    <sheet name="ф.2.2 ИндИспол (Ис)" sheetId="11" state="hidden" r:id="rId11"/>
    <sheet name="ф.2.3 ИндРезульт (Рс)" sheetId="12" state="hidden" r:id="rId12"/>
    <sheet name="ф.1.3 Ср.продолж." sheetId="13" r:id="rId13"/>
    <sheet name="ф.8.1 Журнал учета" sheetId="14" r:id="rId14"/>
    <sheet name="ф.8.1.1 Ведомость_свод" sheetId="15" r:id="rId15"/>
    <sheet name="ф.8.3 Индикатив" sheetId="16" r:id="rId16"/>
    <sheet name="Ф.3.1Ф3.2 ПоказТехприс (Птпр)" sheetId="17" r:id="rId17"/>
    <sheet name="Форма 4.1 расч." sheetId="18" r:id="rId18"/>
    <sheet name="Форма 4.2 расч." sheetId="19" r:id="rId19"/>
    <sheet name="ф.1.9 Характеристика" sheetId="20" r:id="rId20"/>
    <sheet name="Ф9.1Ф9.2" sheetId="21" r:id="rId21"/>
    <sheet name="Сопроводительные материалы" sheetId="22" r:id="rId22"/>
  </sheets>
  <definedNames>
    <definedName name="_xlnm._FilterDatabase" localSheetId="13">'ф.8.1 Журнал учета'!$G$16:$BJ$44</definedName>
    <definedName name="activity">Титульный!$D$30</definedName>
    <definedName name="add_02">et_union!$13:$13</definedName>
    <definedName name="add_04">et_union!$18:$18</definedName>
    <definedName name="add_99_coms">et_union!$6:$6</definedName>
    <definedName name="add_coms">et_union!$6:$6</definedName>
    <definedName name="add_DOC">et_union!$23:$23</definedName>
    <definedName name="bln_binary">TEHSHEET!$X$2:$X$3</definedName>
    <definedName name="buh_FIO">Титульный!$D$42</definedName>
    <definedName name="buh_tel">Титульный!$D$43</definedName>
    <definedName name="CHECK_DOCS">'Сопроводительные материалы'!$H$13:$H$21</definedName>
    <definedName name="CHECK_LINK_RANGE_1">"Калькуляция!$I$11:$I$132"</definedName>
    <definedName name="CODE">Инструкция!$B$2</definedName>
    <definedName name="DATA_VALUE">"NO"</definedName>
    <definedName name="DAY">TEHSHEET!$H$2:$H$32</definedName>
    <definedName name="DemoDate">"test"</definedName>
    <definedName name="DOC_ADD_HL_MARKER">'Сопроводительные материалы'!$G$27</definedName>
    <definedName name="DOC_ADD_HL_MARKER_ALL">'Сопроводительные материалы'!$G$21</definedName>
    <definedName name="DOC_ADD_HL_MARKER_DOP">'Сопроводительные материалы'!$G$24</definedName>
    <definedName name="DOC_DELETE_COLUMN_MARKER">'Сопроводительные материалы'!$E$13</definedName>
    <definedName name="doc_list">TEHSHEET!$K$2:$K$3</definedName>
    <definedName name="DOC_NOMER">'Сопроводительные материалы'!$F$13:$F$21</definedName>
    <definedName name="DOC_NUM_COLUMN_MARKER">'Сопроводительные материалы'!$F$13</definedName>
    <definedName name="DOC_vis_flags">'Сопроводительные материалы'!$A$14:$A$20</definedName>
    <definedName name="END_COLUMN_DOC">'Сопроводительные материалы'!$I$12</definedName>
    <definedName name="end_DOC">'Сопроводительные материалы'!$J$22</definedName>
    <definedName name="END_ROW_DOC">'Сопроводительные материалы'!$F$28</definedName>
    <definedName name="f_1_3_vis_reg_flags">'ф.1.3 Ср.продолж.'!$J$1</definedName>
    <definedName name="f_1_9_vis_reg_flags">'ф.1.9 Характеристика'!$M$1:$O$1</definedName>
    <definedName name="f_4_1_vis_reg_flags">'Форма 4.1 расч.'!$K$1:$L$1</definedName>
    <definedName name="f_4_2_vis_reg_flags">'Форма 4.2 расч.'!$J$1:$Q$1</definedName>
    <definedName name="f_8_1_1_dnld_clck">'ф.8.1.1 Ведомость_свод'!$S$16</definedName>
    <definedName name="f_8_1_1_docs">'ф.8.1.1 Ведомость_свод'!$R$17:$R$28</definedName>
    <definedName name="f_8_1_add_row">'ф.8.1 Журнал учета'!$H$45</definedName>
    <definedName name="f_8_1_ae">TEHSHEET!$B$2:$B$31</definedName>
    <definedName name="f_8_1_count_to_reliability_org">'ф.8.1 Журнал учета'!$AG$17:$AG$45</definedName>
    <definedName name="f_8_1_count_to_reliability_reg">'ф.8.1 Журнал учета'!$BJ$17:$BJ$45</definedName>
    <definedName name="f_8_1_date1">'ф.8.1 Журнал учета'!$L$17:$M$45</definedName>
    <definedName name="f_8_1_date2">'ф.8.1 Журнал учета'!$AW$17:$AX$45</definedName>
    <definedName name="f_8_1_orgclick">'ф.8.1 Журнал учета'!$AH$17:$AH$44</definedName>
    <definedName name="f_8_1_timeOFF">'ф.8.1 Журнал учета'!$O$17:$O$45</definedName>
    <definedName name="f_8_1_URL">'ф.8.1 Журнал учета'!$AI$17:$AI$45</definedName>
    <definedName name="f_8_1_vis_flags">'ф.8.1 Журнал учета'!$AH$2:$AI$2</definedName>
    <definedName name="f_8_1_vis_reg_flags">'ф.8.1 Журнал учета'!$AW$1:$BK$1</definedName>
    <definedName name="f_8_3_vis_reg_flags">'ф.8.3 Индикатив'!$J$1</definedName>
    <definedName name="f_9_1_vis_reg_flags">'Ф9.1Ф9.2'!$L$1:$P$1</definedName>
    <definedName name="f_p_vis_reg_flags">'Ф.3.1Ф3.2 ПоказТехприс (Птпр)'!$K$1</definedName>
    <definedName name="F1_3_F1_7_FACT">'ф.1.3 Ср.продолж.'!$I$14:$I$16</definedName>
    <definedName name="F1_3_F1_7_FACT_BLOC_1">'ф.1.3 Ср.продолж.'!$I$14:$I$16</definedName>
    <definedName name="F1_9_FACT_BLOC_1">'ф.1.9 Характеристика'!$I$16:$K$23</definedName>
    <definedName name="F2_1_PLAN_BLOC_1">'ф.2.1 ИндИнф (Ин)'!$J$16:$N$38</definedName>
    <definedName name="F2_2_PLAN_BLOC_1">'ф.2.2 ИндИспол (Ис)'!$J$16:$N$31</definedName>
    <definedName name="F2_3_PLAN_BLOC_1">'ф.2.3 ИндРезульт (Рс)'!$J$16:$N$38</definedName>
    <definedName name="F3_FACT_BLOC_1">'Ф.3.1Ф3.2 ПоказТехприс (Птпр)'!$J$9:$J$27</definedName>
    <definedName name="FACT_YEAR">TEHSHEET!$F$15:$F$25</definedName>
    <definedName name="fil">Титульный!$D$27</definedName>
    <definedName name="fil_flag">Титульный!$D$24</definedName>
    <definedName name="FIRST_PERIOD_IN_FACT">Титульный!$D$20</definedName>
    <definedName name="FIRST_PERIOD_IN_LT">Титульный!$D$16</definedName>
    <definedName name="FIRST_PERIOD_INDEX">Титульный!$D$14</definedName>
    <definedName name="gfg">{"'РП (2)'!$A$5:$S$150"}</definedName>
    <definedName name="god">Титульный!$D$20</definedName>
    <definedName name="HTML_LineAfter">FALSE</definedName>
    <definedName name="HTML_LineBefore">FALSE</definedName>
    <definedName name="HTML_OBDlg2">TRUE</definedName>
    <definedName name="HTML_OBDlg4">TRUE</definedName>
    <definedName name="inn">Титульный!$D$28</definedName>
    <definedName name="isp_dol">Титульный!$D$47</definedName>
    <definedName name="isp_FIO">Титульный!$D$46</definedName>
    <definedName name="isp_mail">Титульный!$D$49</definedName>
    <definedName name="isp_tel">Титульный!$D$48</definedName>
    <definedName name="kpp">Титульный!$D$29</definedName>
    <definedName name="kvartal">TEHSHEET!$D$2:$D$5</definedName>
    <definedName name="LINK_DOC_MASK">TEHSHEET!$I$2:$I$5</definedName>
    <definedName name="LIST_OBJECT">#REF!</definedName>
    <definedName name="LIST_WS_vis_flags">'Список листов'!$Q$8:$Q$23</definedName>
    <definedName name="logic">TEHSHEET!$C$2:$C$3</definedName>
    <definedName name="MONTH">TEHSHEET!$F$2:$F$13</definedName>
    <definedName name="MONTH_CH">TEHSHEET!$G$2:$G$13</definedName>
    <definedName name="org">Титульный!$D$26</definedName>
    <definedName name="org_f_address">Титульный!$D$33</definedName>
    <definedName name="ORG_ID">Титульный!$F$24</definedName>
    <definedName name="org_u_address">Титульный!$D$34</definedName>
    <definedName name="OVER_PERIOD_3">TEHSHEET!$E$29:$E$31</definedName>
    <definedName name="OVER_PERIOD_4">TEHSHEET!$E$37:$E$40</definedName>
    <definedName name="OVER_PERIOD_5">TEHSHEET!$E$44:$E$48</definedName>
    <definedName name="pbUpdatePageNumbering">TRUE</definedName>
    <definedName name="Period">TEHSHEET!$E$2:$E$7</definedName>
    <definedName name="PERIOD_LENGTH">Титульный!$D$17</definedName>
    <definedName name="PERIOD_LIST">TEHSHEET!$E$31:$E$35</definedName>
    <definedName name="PLAN_YEAR">TEHSHEET!$F$24:$F$25</definedName>
    <definedName name="POSSIBLE_PERIOD_LENGTH">TEHSHEET!$J$34:$J$36</definedName>
    <definedName name="REGION">TEHSHEET!$A$2:$A$86</definedName>
    <definedName name="region_name">Титульный!$D$12</definedName>
    <definedName name="REPORT_OWNER">Титульный!$D$22</definedName>
    <definedName name="ruk_dol">Титульный!$D$38</definedName>
    <definedName name="ruk_FIO">Титульный!$D$37</definedName>
    <definedName name="ruk_tel">Титульный!$D$39</definedName>
    <definedName name="SAX_PARSER_FEATURE">TEHSHEET!$J$30</definedName>
    <definedName name="selected_region">TEHSHEET!$C$7</definedName>
    <definedName name="SphereList">TEHSHEET!$O$8</definedName>
    <definedName name="SphereList_ru">TEHSHEET!$P$8</definedName>
    <definedName name="STR_MESSAGE_VALUE">"NO"</definedName>
    <definedName name="tariff_num">TEHSHEET!$H$2:$H$32</definedName>
    <definedName name="TemplateState">TEHSHEET!$C$18</definedName>
    <definedName name="TestMode">TEHSHEET!$L$2</definedName>
    <definedName name="TIT_CONTACT">Титульный!$D$46:$D$49</definedName>
    <definedName name="TitHeader">Титульный!$C$9</definedName>
    <definedName name="TOTAL">P1_TOTAL,P2_TOTAL,P3_TOTAL,P4_TOTAL,P5_TOTAL</definedName>
    <definedName name="TYPE_OBGECT">TEHSHEET!$R$2:$R$6</definedName>
    <definedName name="TYPE_TERMINATION">TEHSHEET!$S$2:$S$4</definedName>
    <definedName name="VERSION">Инструкция!$B$3</definedName>
    <definedName name="VID_END_EE">TEHSHEET!$U$2:$U$4</definedName>
    <definedName name="VID_OBJECT">TEHSHEET!$V$2:$V$7</definedName>
    <definedName name="ws_02_add_row">'ф.8.1 Журнал учета'!$H$45</definedName>
    <definedName name="ws_02_Check_date">'ф.8.1 Журнал учета'!$L:$M</definedName>
    <definedName name="XML_DICTIONARIES_LIST_TAG_NAMES">TEHSHEET!$J$20:$J$23</definedName>
    <definedName name="XML_MR_MO_OKTMO_LIST_TAG_NAMES">TEHSHEET!$J$12:$J$16</definedName>
    <definedName name="XML_ORG_LIST_TAG_NAMES">TEHSHEET!$J$2:$J$10</definedName>
  </definedNames>
  <calcPr calcId="181029"/>
</workbook>
</file>

<file path=xl/calcChain.xml><?xml version="1.0" encoding="utf-8"?>
<calcChain xmlns="http://schemas.openxmlformats.org/spreadsheetml/2006/main">
  <c r="F20" i="22" l="1"/>
  <c r="A20" i="22"/>
  <c r="A19" i="22"/>
  <c r="A18" i="22"/>
  <c r="A17" i="22"/>
  <c r="A16" i="22"/>
  <c r="A15" i="22"/>
  <c r="A14" i="22"/>
  <c r="M37" i="21"/>
  <c r="L37" i="21"/>
  <c r="H37" i="21"/>
  <c r="G37" i="21"/>
  <c r="M36" i="21"/>
  <c r="L36" i="21"/>
  <c r="H36" i="21"/>
  <c r="G36" i="21"/>
  <c r="M35" i="21"/>
  <c r="H35" i="21"/>
  <c r="M34" i="21"/>
  <c r="H34" i="21"/>
  <c r="M33" i="21"/>
  <c r="H33" i="21"/>
  <c r="M32" i="21"/>
  <c r="H32" i="21"/>
  <c r="M31" i="21"/>
  <c r="H31" i="21"/>
  <c r="M30" i="21"/>
  <c r="H30" i="21"/>
  <c r="T28" i="21"/>
  <c r="S28" i="21"/>
  <c r="M23" i="21"/>
  <c r="L23" i="21"/>
  <c r="H23" i="21"/>
  <c r="G23" i="21"/>
  <c r="M22" i="21"/>
  <c r="H22" i="21"/>
  <c r="M21" i="21"/>
  <c r="H21" i="21"/>
  <c r="M20" i="21"/>
  <c r="H20" i="21"/>
  <c r="M19" i="21"/>
  <c r="H19" i="21"/>
  <c r="M18" i="21"/>
  <c r="H18" i="21"/>
  <c r="O17" i="21"/>
  <c r="M17" i="21"/>
  <c r="K17" i="21"/>
  <c r="J17" i="21"/>
  <c r="H17" i="21"/>
  <c r="P16" i="21"/>
  <c r="O16" i="21"/>
  <c r="M16" i="21"/>
  <c r="K16" i="21"/>
  <c r="J16" i="21"/>
  <c r="H16" i="21"/>
  <c r="O15" i="21"/>
  <c r="M15" i="21"/>
  <c r="J15" i="21"/>
  <c r="H15" i="21"/>
  <c r="T13" i="21"/>
  <c r="S13" i="21"/>
  <c r="P1" i="21"/>
  <c r="O1" i="21"/>
  <c r="N1" i="21"/>
  <c r="M1" i="21"/>
  <c r="L1" i="21"/>
  <c r="M25" i="20"/>
  <c r="I25" i="20"/>
  <c r="H25" i="20"/>
  <c r="M18" i="20"/>
  <c r="N35" i="21" s="1"/>
  <c r="L35" i="21" s="1"/>
  <c r="I18" i="20"/>
  <c r="I17" i="21" s="1"/>
  <c r="M12" i="20"/>
  <c r="I12" i="20"/>
  <c r="O1" i="20"/>
  <c r="N1" i="20"/>
  <c r="M1" i="20"/>
  <c r="J25" i="19"/>
  <c r="I25" i="19"/>
  <c r="H25" i="19"/>
  <c r="J20" i="19"/>
  <c r="I20" i="19"/>
  <c r="G16" i="19"/>
  <c r="G17" i="19" s="1"/>
  <c r="G18" i="19" s="1"/>
  <c r="G19" i="19" s="1"/>
  <c r="G20" i="19" s="1"/>
  <c r="G21" i="19" s="1"/>
  <c r="G22" i="19" s="1"/>
  <c r="G23" i="19" s="1"/>
  <c r="Q15" i="19"/>
  <c r="J13" i="19"/>
  <c r="I13" i="19"/>
  <c r="Q1" i="19"/>
  <c r="P1" i="19"/>
  <c r="O1" i="19"/>
  <c r="N1" i="19"/>
  <c r="M1" i="19"/>
  <c r="L1" i="19"/>
  <c r="K1" i="19"/>
  <c r="J1" i="19"/>
  <c r="K52" i="18"/>
  <c r="K54" i="18" s="1"/>
  <c r="I52" i="18"/>
  <c r="I54" i="18" s="1"/>
  <c r="J40" i="18" s="1"/>
  <c r="K48" i="18"/>
  <c r="K50" i="18" s="1"/>
  <c r="L39" i="18" s="1"/>
  <c r="I48" i="18"/>
  <c r="I50" i="18" s="1"/>
  <c r="J39" i="18" s="1"/>
  <c r="K44" i="18"/>
  <c r="K46" i="18" s="1"/>
  <c r="I44" i="18"/>
  <c r="I46" i="18" s="1"/>
  <c r="L41" i="18"/>
  <c r="L55" i="18" s="1"/>
  <c r="J41" i="18"/>
  <c r="L38" i="18"/>
  <c r="K38" i="18"/>
  <c r="J38" i="18"/>
  <c r="I38" i="18"/>
  <c r="I33" i="18"/>
  <c r="H33" i="18"/>
  <c r="G15" i="18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K12" i="18"/>
  <c r="J12" i="18"/>
  <c r="L1" i="18"/>
  <c r="K1" i="18"/>
  <c r="I29" i="17"/>
  <c r="H29" i="17"/>
  <c r="K26" i="17"/>
  <c r="J26" i="17"/>
  <c r="J22" i="17"/>
  <c r="J27" i="17" s="1"/>
  <c r="I45" i="18" s="1"/>
  <c r="J21" i="17"/>
  <c r="K20" i="17"/>
  <c r="K19" i="17"/>
  <c r="K21" i="17" s="1"/>
  <c r="K17" i="17"/>
  <c r="J17" i="17"/>
  <c r="G15" i="17"/>
  <c r="J13" i="17"/>
  <c r="J17" i="18" s="1"/>
  <c r="J12" i="17"/>
  <c r="K11" i="17"/>
  <c r="K12" i="17" s="1"/>
  <c r="K13" i="17" s="1"/>
  <c r="K10" i="17"/>
  <c r="K9" i="17"/>
  <c r="J9" i="17"/>
  <c r="G7" i="17"/>
  <c r="K1" i="17"/>
  <c r="I25" i="16"/>
  <c r="H25" i="16"/>
  <c r="J12" i="16"/>
  <c r="I12" i="16"/>
  <c r="J1" i="16"/>
  <c r="I28" i="15"/>
  <c r="P28" i="15" s="1"/>
  <c r="I27" i="15"/>
  <c r="P27" i="15" s="1"/>
  <c r="I26" i="15"/>
  <c r="P26" i="15" s="1"/>
  <c r="I25" i="15"/>
  <c r="P25" i="15" s="1"/>
  <c r="I24" i="15"/>
  <c r="P24" i="15" s="1"/>
  <c r="I23" i="15"/>
  <c r="P23" i="15" s="1"/>
  <c r="I22" i="15"/>
  <c r="P22" i="15" s="1"/>
  <c r="I21" i="15"/>
  <c r="P21" i="15" s="1"/>
  <c r="I20" i="15"/>
  <c r="P20" i="15" s="1"/>
  <c r="I19" i="15"/>
  <c r="P19" i="15" s="1"/>
  <c r="I18" i="15"/>
  <c r="P18" i="15" s="1"/>
  <c r="I17" i="15"/>
  <c r="I12" i="15"/>
  <c r="I52" i="14"/>
  <c r="H52" i="14"/>
  <c r="BI50" i="14"/>
  <c r="BH50" i="14"/>
  <c r="BG50" i="14"/>
  <c r="BF50" i="14"/>
  <c r="BE50" i="14"/>
  <c r="BD50" i="14"/>
  <c r="BC50" i="14"/>
  <c r="BB50" i="14"/>
  <c r="BA50" i="14"/>
  <c r="AB50" i="14"/>
  <c r="AA50" i="14"/>
  <c r="Y50" i="14"/>
  <c r="X50" i="14"/>
  <c r="W50" i="14"/>
  <c r="V50" i="14"/>
  <c r="U50" i="14"/>
  <c r="T50" i="14"/>
  <c r="O50" i="14"/>
  <c r="AB49" i="14"/>
  <c r="AA49" i="14"/>
  <c r="Y49" i="14"/>
  <c r="X49" i="14"/>
  <c r="W49" i="14"/>
  <c r="V49" i="14"/>
  <c r="U49" i="14"/>
  <c r="T49" i="14"/>
  <c r="O49" i="14"/>
  <c r="BA48" i="14"/>
  <c r="AB48" i="14"/>
  <c r="AA48" i="14"/>
  <c r="Z48" i="14"/>
  <c r="Y48" i="14"/>
  <c r="X48" i="14"/>
  <c r="W48" i="14"/>
  <c r="V48" i="14"/>
  <c r="V46" i="14" s="1"/>
  <c r="U48" i="14"/>
  <c r="T48" i="14"/>
  <c r="S48" i="14"/>
  <c r="O48" i="14"/>
  <c r="O46" i="14" s="1"/>
  <c r="BF47" i="14"/>
  <c r="AB47" i="14"/>
  <c r="AA47" i="14"/>
  <c r="AA46" i="14" s="1"/>
  <c r="Y47" i="14"/>
  <c r="Y46" i="14" s="1"/>
  <c r="X47" i="14"/>
  <c r="W47" i="14"/>
  <c r="W46" i="14" s="1"/>
  <c r="V47" i="14"/>
  <c r="U47" i="14"/>
  <c r="U46" i="14" s="1"/>
  <c r="T47" i="14"/>
  <c r="O47" i="14"/>
  <c r="AB46" i="14"/>
  <c r="X46" i="14"/>
  <c r="T46" i="14"/>
  <c r="BM44" i="14"/>
  <c r="BL44" i="14"/>
  <c r="AQ44" i="14"/>
  <c r="AP44" i="14"/>
  <c r="BJ43" i="14"/>
  <c r="BI43" i="14"/>
  <c r="BA43" i="14" s="1"/>
  <c r="BG43" i="14"/>
  <c r="BF43" i="14"/>
  <c r="BE43" i="14"/>
  <c r="BD43" i="14"/>
  <c r="BC43" i="14"/>
  <c r="BB43" i="14"/>
  <c r="AZ43" i="14"/>
  <c r="AY43" i="14"/>
  <c r="BM43" i="14" s="1"/>
  <c r="AX43" i="14"/>
  <c r="AW43" i="14"/>
  <c r="AQ43" i="14"/>
  <c r="AP43" i="14"/>
  <c r="S43" i="14"/>
  <c r="AS43" i="14" s="1"/>
  <c r="BN42" i="14"/>
  <c r="BJ42" i="14"/>
  <c r="BI42" i="14"/>
  <c r="BA42" i="14" s="1"/>
  <c r="BH42" i="14" s="1"/>
  <c r="BG42" i="14"/>
  <c r="BF42" i="14"/>
  <c r="BE42" i="14"/>
  <c r="BD42" i="14"/>
  <c r="BC42" i="14"/>
  <c r="BB42" i="14"/>
  <c r="AZ42" i="14"/>
  <c r="AY42" i="14"/>
  <c r="BM42" i="14" s="1"/>
  <c r="AX42" i="14"/>
  <c r="AW42" i="14"/>
  <c r="AS42" i="14"/>
  <c r="AR42" i="14"/>
  <c r="AQ42" i="14"/>
  <c r="AP42" i="14"/>
  <c r="S42" i="14"/>
  <c r="Z42" i="14" s="1"/>
  <c r="BN41" i="14"/>
  <c r="BJ41" i="14"/>
  <c r="BI41" i="14"/>
  <c r="BA41" i="14" s="1"/>
  <c r="BH41" i="14" s="1"/>
  <c r="BG41" i="14"/>
  <c r="BF41" i="14"/>
  <c r="BE41" i="14"/>
  <c r="BD41" i="14"/>
  <c r="BC41" i="14"/>
  <c r="BB41" i="14"/>
  <c r="AZ41" i="14"/>
  <c r="AY41" i="14"/>
  <c r="BM41" i="14" s="1"/>
  <c r="AX41" i="14"/>
  <c r="AW41" i="14"/>
  <c r="AS41" i="14"/>
  <c r="AR41" i="14"/>
  <c r="AP41" i="14"/>
  <c r="S41" i="14"/>
  <c r="Z41" i="14" s="1"/>
  <c r="BN40" i="14"/>
  <c r="BJ40" i="14"/>
  <c r="BI40" i="14"/>
  <c r="BG40" i="14"/>
  <c r="BF40" i="14"/>
  <c r="BE40" i="14"/>
  <c r="BD40" i="14"/>
  <c r="BC40" i="14"/>
  <c r="BB40" i="14"/>
  <c r="BA40" i="14"/>
  <c r="BH40" i="14" s="1"/>
  <c r="AZ40" i="14"/>
  <c r="AY40" i="14"/>
  <c r="AX40" i="14"/>
  <c r="AW40" i="14"/>
  <c r="AS40" i="14"/>
  <c r="AR40" i="14"/>
  <c r="S40" i="14"/>
  <c r="BJ39" i="14"/>
  <c r="BI39" i="14"/>
  <c r="BA39" i="14" s="1"/>
  <c r="BG39" i="14"/>
  <c r="BF39" i="14"/>
  <c r="BE39" i="14"/>
  <c r="BD39" i="14"/>
  <c r="BC39" i="14"/>
  <c r="BB39" i="14"/>
  <c r="AZ39" i="14"/>
  <c r="AY39" i="14"/>
  <c r="AX39" i="14"/>
  <c r="AW39" i="14"/>
  <c r="AS39" i="14"/>
  <c r="AR39" i="14"/>
  <c r="S39" i="14"/>
  <c r="BN38" i="14"/>
  <c r="BJ38" i="14"/>
  <c r="BI38" i="14"/>
  <c r="BG38" i="14"/>
  <c r="BF38" i="14"/>
  <c r="BE38" i="14"/>
  <c r="BD38" i="14"/>
  <c r="BC38" i="14"/>
  <c r="BA38" i="14" s="1"/>
  <c r="BH38" i="14" s="1"/>
  <c r="BB38" i="14"/>
  <c r="AZ38" i="14"/>
  <c r="AY38" i="14"/>
  <c r="AX38" i="14"/>
  <c r="AW38" i="14"/>
  <c r="AR38" i="14"/>
  <c r="AQ38" i="14"/>
  <c r="AP38" i="14"/>
  <c r="S38" i="14"/>
  <c r="BJ37" i="14"/>
  <c r="BI37" i="14"/>
  <c r="BG37" i="14"/>
  <c r="BF37" i="14"/>
  <c r="BE37" i="14"/>
  <c r="BD37" i="14"/>
  <c r="BC37" i="14"/>
  <c r="BA37" i="14" s="1"/>
  <c r="BH37" i="14" s="1"/>
  <c r="BB37" i="14"/>
  <c r="AZ37" i="14"/>
  <c r="AY37" i="14"/>
  <c r="AX37" i="14"/>
  <c r="AW37" i="14"/>
  <c r="AS37" i="14"/>
  <c r="AR37" i="14"/>
  <c r="S37" i="14"/>
  <c r="Z37" i="14" s="1"/>
  <c r="BO36" i="14"/>
  <c r="BJ36" i="14"/>
  <c r="BI36" i="14"/>
  <c r="BA36" i="14" s="1"/>
  <c r="BH36" i="14" s="1"/>
  <c r="BG36" i="14"/>
  <c r="BF36" i="14"/>
  <c r="BE36" i="14"/>
  <c r="BD36" i="14"/>
  <c r="BC36" i="14"/>
  <c r="BB36" i="14"/>
  <c r="AZ36" i="14"/>
  <c r="AY36" i="14"/>
  <c r="AX36" i="14"/>
  <c r="AW36" i="14"/>
  <c r="AS36" i="14"/>
  <c r="AR36" i="14"/>
  <c r="S36" i="14"/>
  <c r="BJ35" i="14"/>
  <c r="BL35" i="14" s="1"/>
  <c r="BI35" i="14"/>
  <c r="BG35" i="14"/>
  <c r="BF35" i="14"/>
  <c r="BE35" i="14"/>
  <c r="BD35" i="14"/>
  <c r="BC35" i="14"/>
  <c r="BB35" i="14"/>
  <c r="BA35" i="14"/>
  <c r="BH35" i="14" s="1"/>
  <c r="AZ35" i="14"/>
  <c r="AY35" i="14"/>
  <c r="AX35" i="14"/>
  <c r="AW35" i="14"/>
  <c r="AS35" i="14"/>
  <c r="AR35" i="14"/>
  <c r="AQ35" i="14"/>
  <c r="AP35" i="14"/>
  <c r="S35" i="14"/>
  <c r="Z35" i="14" s="1"/>
  <c r="BO34" i="14"/>
  <c r="BN34" i="14"/>
  <c r="BJ34" i="14"/>
  <c r="BI34" i="14"/>
  <c r="BA34" i="14" s="1"/>
  <c r="BH34" i="14" s="1"/>
  <c r="BG34" i="14"/>
  <c r="BF34" i="14"/>
  <c r="BE34" i="14"/>
  <c r="BD34" i="14"/>
  <c r="BC34" i="14"/>
  <c r="BB34" i="14"/>
  <c r="AZ34" i="14"/>
  <c r="AY34" i="14"/>
  <c r="AX34" i="14"/>
  <c r="AW34" i="14"/>
  <c r="AS34" i="14"/>
  <c r="AR34" i="14"/>
  <c r="AQ34" i="14"/>
  <c r="AP34" i="14"/>
  <c r="S34" i="14"/>
  <c r="Z34" i="14" s="1"/>
  <c r="BO33" i="14"/>
  <c r="BN33" i="14"/>
  <c r="BJ33" i="14"/>
  <c r="BI33" i="14"/>
  <c r="BA33" i="14" s="1"/>
  <c r="BH33" i="14" s="1"/>
  <c r="BG33" i="14"/>
  <c r="BF33" i="14"/>
  <c r="BE33" i="14"/>
  <c r="BD33" i="14"/>
  <c r="BC33" i="14"/>
  <c r="BB33" i="14"/>
  <c r="AZ33" i="14"/>
  <c r="AY33" i="14"/>
  <c r="AX33" i="14"/>
  <c r="AW33" i="14"/>
  <c r="AS33" i="14"/>
  <c r="AR33" i="14"/>
  <c r="AQ33" i="14"/>
  <c r="AP33" i="14"/>
  <c r="S33" i="14"/>
  <c r="Z33" i="14" s="1"/>
  <c r="BO32" i="14"/>
  <c r="BN32" i="14"/>
  <c r="BJ32" i="14"/>
  <c r="BI32" i="14"/>
  <c r="BA32" i="14" s="1"/>
  <c r="BH32" i="14" s="1"/>
  <c r="BG32" i="14"/>
  <c r="BF32" i="14"/>
  <c r="BE32" i="14"/>
  <c r="BD32" i="14"/>
  <c r="BC32" i="14"/>
  <c r="BB32" i="14"/>
  <c r="AZ32" i="14"/>
  <c r="AY32" i="14"/>
  <c r="AX32" i="14"/>
  <c r="AW32" i="14"/>
  <c r="AS32" i="14"/>
  <c r="AR32" i="14"/>
  <c r="AQ32" i="14"/>
  <c r="AP32" i="14"/>
  <c r="S32" i="14"/>
  <c r="Z32" i="14" s="1"/>
  <c r="BO31" i="14"/>
  <c r="BN31" i="14"/>
  <c r="BJ31" i="14"/>
  <c r="BI31" i="14"/>
  <c r="BA31" i="14" s="1"/>
  <c r="BH31" i="14" s="1"/>
  <c r="BG31" i="14"/>
  <c r="BF31" i="14"/>
  <c r="BE31" i="14"/>
  <c r="BD31" i="14"/>
  <c r="BC31" i="14"/>
  <c r="BB31" i="14"/>
  <c r="AZ31" i="14"/>
  <c r="AY31" i="14"/>
  <c r="BM31" i="14" s="1"/>
  <c r="AX31" i="14"/>
  <c r="AW31" i="14"/>
  <c r="AS31" i="14"/>
  <c r="AR31" i="14"/>
  <c r="AQ31" i="14"/>
  <c r="AP31" i="14"/>
  <c r="S31" i="14"/>
  <c r="Z31" i="14" s="1"/>
  <c r="BO30" i="14"/>
  <c r="BN30" i="14"/>
  <c r="BJ30" i="14"/>
  <c r="BI30" i="14"/>
  <c r="BA30" i="14" s="1"/>
  <c r="BH30" i="14" s="1"/>
  <c r="BG30" i="14"/>
  <c r="BF30" i="14"/>
  <c r="BE30" i="14"/>
  <c r="BD30" i="14"/>
  <c r="BC30" i="14"/>
  <c r="BB30" i="14"/>
  <c r="AZ30" i="14"/>
  <c r="AY30" i="14"/>
  <c r="AX30" i="14"/>
  <c r="AW30" i="14"/>
  <c r="AS30" i="14"/>
  <c r="AR30" i="14"/>
  <c r="AQ30" i="14"/>
  <c r="AP30" i="14"/>
  <c r="S30" i="14"/>
  <c r="Z30" i="14" s="1"/>
  <c r="BO29" i="14"/>
  <c r="BN29" i="14"/>
  <c r="BJ29" i="14"/>
  <c r="BI29" i="14"/>
  <c r="BA29" i="14" s="1"/>
  <c r="BH29" i="14" s="1"/>
  <c r="BG29" i="14"/>
  <c r="BF29" i="14"/>
  <c r="BE29" i="14"/>
  <c r="BD29" i="14"/>
  <c r="BC29" i="14"/>
  <c r="BB29" i="14"/>
  <c r="AZ29" i="14"/>
  <c r="AY29" i="14"/>
  <c r="BM29" i="14" s="1"/>
  <c r="AX29" i="14"/>
  <c r="AW29" i="14"/>
  <c r="AS29" i="14"/>
  <c r="AR29" i="14"/>
  <c r="AQ29" i="14"/>
  <c r="AP29" i="14"/>
  <c r="S29" i="14"/>
  <c r="Z29" i="14" s="1"/>
  <c r="BO28" i="14"/>
  <c r="BN28" i="14"/>
  <c r="BJ28" i="14"/>
  <c r="BI28" i="14"/>
  <c r="BA28" i="14" s="1"/>
  <c r="BH28" i="14" s="1"/>
  <c r="BG28" i="14"/>
  <c r="BF28" i="14"/>
  <c r="BE28" i="14"/>
  <c r="BD28" i="14"/>
  <c r="BC28" i="14"/>
  <c r="BB28" i="14"/>
  <c r="AZ28" i="14"/>
  <c r="AY28" i="14"/>
  <c r="BM28" i="14" s="1"/>
  <c r="AX28" i="14"/>
  <c r="AW28" i="14"/>
  <c r="AS28" i="14"/>
  <c r="AR28" i="14"/>
  <c r="AQ28" i="14"/>
  <c r="AP28" i="14"/>
  <c r="S28" i="14"/>
  <c r="Z28" i="14" s="1"/>
  <c r="BO27" i="14"/>
  <c r="BN27" i="14"/>
  <c r="BJ27" i="14"/>
  <c r="BI27" i="14"/>
  <c r="BA27" i="14" s="1"/>
  <c r="BH27" i="14" s="1"/>
  <c r="BG27" i="14"/>
  <c r="BF27" i="14"/>
  <c r="BE27" i="14"/>
  <c r="BD27" i="14"/>
  <c r="BC27" i="14"/>
  <c r="BB27" i="14"/>
  <c r="AZ27" i="14"/>
  <c r="AY27" i="14"/>
  <c r="BM27" i="14" s="1"/>
  <c r="AX27" i="14"/>
  <c r="AW27" i="14"/>
  <c r="AS27" i="14"/>
  <c r="AR27" i="14"/>
  <c r="AQ27" i="14"/>
  <c r="AP27" i="14"/>
  <c r="S27" i="14"/>
  <c r="Z27" i="14" s="1"/>
  <c r="BO26" i="14"/>
  <c r="BN26" i="14"/>
  <c r="BJ26" i="14"/>
  <c r="BI26" i="14"/>
  <c r="BA26" i="14" s="1"/>
  <c r="BH26" i="14" s="1"/>
  <c r="BG26" i="14"/>
  <c r="BF26" i="14"/>
  <c r="BE26" i="14"/>
  <c r="BD26" i="14"/>
  <c r="BC26" i="14"/>
  <c r="BB26" i="14"/>
  <c r="AZ26" i="14"/>
  <c r="AY26" i="14"/>
  <c r="AX26" i="14"/>
  <c r="AW26" i="14"/>
  <c r="AS26" i="14"/>
  <c r="AR26" i="14"/>
  <c r="AQ26" i="14"/>
  <c r="AP26" i="14"/>
  <c r="S26" i="14"/>
  <c r="Z26" i="14" s="1"/>
  <c r="BO25" i="14"/>
  <c r="BN25" i="14"/>
  <c r="BJ25" i="14"/>
  <c r="BI25" i="14"/>
  <c r="BA25" i="14" s="1"/>
  <c r="BH25" i="14" s="1"/>
  <c r="BG25" i="14"/>
  <c r="BF25" i="14"/>
  <c r="BE25" i="14"/>
  <c r="BD25" i="14"/>
  <c r="BC25" i="14"/>
  <c r="BB25" i="14"/>
  <c r="AZ25" i="14"/>
  <c r="AY25" i="14"/>
  <c r="BM25" i="14" s="1"/>
  <c r="AX25" i="14"/>
  <c r="AW25" i="14"/>
  <c r="AS25" i="14"/>
  <c r="AR25" i="14"/>
  <c r="AQ25" i="14"/>
  <c r="AP25" i="14"/>
  <c r="S25" i="14"/>
  <c r="Z25" i="14" s="1"/>
  <c r="BO24" i="14"/>
  <c r="BN24" i="14"/>
  <c r="BJ24" i="14"/>
  <c r="BI24" i="14"/>
  <c r="BA24" i="14" s="1"/>
  <c r="BH24" i="14" s="1"/>
  <c r="BG24" i="14"/>
  <c r="BF24" i="14"/>
  <c r="BE24" i="14"/>
  <c r="BD24" i="14"/>
  <c r="BC24" i="14"/>
  <c r="BB24" i="14"/>
  <c r="AZ24" i="14"/>
  <c r="AY24" i="14"/>
  <c r="AX24" i="14"/>
  <c r="AW24" i="14"/>
  <c r="AS24" i="14"/>
  <c r="AR24" i="14"/>
  <c r="AQ24" i="14"/>
  <c r="AP24" i="14"/>
  <c r="S24" i="14"/>
  <c r="Z24" i="14" s="1"/>
  <c r="BJ23" i="14"/>
  <c r="BI23" i="14"/>
  <c r="BG23" i="14"/>
  <c r="BF23" i="14"/>
  <c r="BE23" i="14"/>
  <c r="BD23" i="14"/>
  <c r="BC23" i="14"/>
  <c r="BB23" i="14"/>
  <c r="BA23" i="14"/>
  <c r="BN23" i="14" s="1"/>
  <c r="AZ23" i="14"/>
  <c r="AY23" i="14"/>
  <c r="BM23" i="14" s="1"/>
  <c r="AX23" i="14"/>
  <c r="AW23" i="14"/>
  <c r="AQ23" i="14"/>
  <c r="AP23" i="14"/>
  <c r="S23" i="14"/>
  <c r="AS23" i="14" s="1"/>
  <c r="BO22" i="14"/>
  <c r="BN22" i="14"/>
  <c r="BJ22" i="14"/>
  <c r="BI22" i="14"/>
  <c r="BA22" i="14" s="1"/>
  <c r="BH22" i="14" s="1"/>
  <c r="BG22" i="14"/>
  <c r="BF22" i="14"/>
  <c r="BE22" i="14"/>
  <c r="BD22" i="14"/>
  <c r="BC22" i="14"/>
  <c r="BB22" i="14"/>
  <c r="AZ22" i="14"/>
  <c r="AY22" i="14"/>
  <c r="AX22" i="14"/>
  <c r="AW22" i="14"/>
  <c r="AS22" i="14"/>
  <c r="AR22" i="14"/>
  <c r="AQ22" i="14"/>
  <c r="AP22" i="14"/>
  <c r="S22" i="14"/>
  <c r="Z22" i="14" s="1"/>
  <c r="BO21" i="14"/>
  <c r="BN21" i="14"/>
  <c r="BJ21" i="14"/>
  <c r="BI21" i="14"/>
  <c r="BA21" i="14" s="1"/>
  <c r="BH21" i="14" s="1"/>
  <c r="BG21" i="14"/>
  <c r="BF21" i="14"/>
  <c r="BE21" i="14"/>
  <c r="BD21" i="14"/>
  <c r="BC21" i="14"/>
  <c r="BB21" i="14"/>
  <c r="AZ21" i="14"/>
  <c r="AY21" i="14"/>
  <c r="AX21" i="14"/>
  <c r="AW21" i="14"/>
  <c r="AS21" i="14"/>
  <c r="AR21" i="14"/>
  <c r="AQ21" i="14"/>
  <c r="AP21" i="14"/>
  <c r="S21" i="14"/>
  <c r="Z21" i="14" s="1"/>
  <c r="BO20" i="14"/>
  <c r="BN20" i="14"/>
  <c r="BJ20" i="14"/>
  <c r="BI20" i="14"/>
  <c r="BA20" i="14" s="1"/>
  <c r="BH20" i="14" s="1"/>
  <c r="BG20" i="14"/>
  <c r="BF20" i="14"/>
  <c r="BE20" i="14"/>
  <c r="BD20" i="14"/>
  <c r="BC20" i="14"/>
  <c r="BB20" i="14"/>
  <c r="AZ20" i="14"/>
  <c r="AY20" i="14"/>
  <c r="BM20" i="14" s="1"/>
  <c r="AX20" i="14"/>
  <c r="AW20" i="14"/>
  <c r="AS20" i="14"/>
  <c r="AR20" i="14"/>
  <c r="AQ20" i="14"/>
  <c r="AP20" i="14"/>
  <c r="S20" i="14"/>
  <c r="Z20" i="14" s="1"/>
  <c r="BO19" i="14"/>
  <c r="BN19" i="14"/>
  <c r="BJ19" i="14"/>
  <c r="BI19" i="14"/>
  <c r="BA19" i="14" s="1"/>
  <c r="BH19" i="14" s="1"/>
  <c r="BG19" i="14"/>
  <c r="BF19" i="14"/>
  <c r="BE19" i="14"/>
  <c r="BD19" i="14"/>
  <c r="BC19" i="14"/>
  <c r="BB19" i="14"/>
  <c r="AZ19" i="14"/>
  <c r="AY19" i="14"/>
  <c r="AX19" i="14"/>
  <c r="AW19" i="14"/>
  <c r="AS19" i="14"/>
  <c r="AR19" i="14"/>
  <c r="AQ19" i="14"/>
  <c r="AP19" i="14"/>
  <c r="S19" i="14"/>
  <c r="BO18" i="14"/>
  <c r="BN18" i="14"/>
  <c r="BJ18" i="14"/>
  <c r="BI18" i="14"/>
  <c r="BA18" i="14" s="1"/>
  <c r="BH18" i="14" s="1"/>
  <c r="BG18" i="14"/>
  <c r="BF18" i="14"/>
  <c r="BE18" i="14"/>
  <c r="BD18" i="14"/>
  <c r="BC18" i="14"/>
  <c r="BB18" i="14"/>
  <c r="AZ18" i="14"/>
  <c r="AY18" i="14"/>
  <c r="AX18" i="14"/>
  <c r="AW18" i="14"/>
  <c r="AS18" i="14"/>
  <c r="AR18" i="14"/>
  <c r="AQ18" i="14"/>
  <c r="AP18" i="14"/>
  <c r="S18" i="14"/>
  <c r="BM17" i="14"/>
  <c r="BL17" i="14"/>
  <c r="AQ17" i="14"/>
  <c r="AP17" i="14"/>
  <c r="G10" i="14"/>
  <c r="AI2" i="14"/>
  <c r="AH2" i="14"/>
  <c r="BO1" i="14"/>
  <c r="BN1" i="14"/>
  <c r="BM1" i="14"/>
  <c r="BL1" i="14"/>
  <c r="BK1" i="14"/>
  <c r="BJ1" i="14"/>
  <c r="BI1" i="14"/>
  <c r="BH1" i="14"/>
  <c r="BG1" i="14"/>
  <c r="BF1" i="14"/>
  <c r="BE1" i="14"/>
  <c r="BD1" i="14"/>
  <c r="BC1" i="14"/>
  <c r="BB1" i="14"/>
  <c r="BA1" i="14"/>
  <c r="AZ1" i="14"/>
  <c r="AY1" i="14"/>
  <c r="AX1" i="14"/>
  <c r="AW1" i="14"/>
  <c r="I18" i="13"/>
  <c r="H18" i="13"/>
  <c r="J12" i="13"/>
  <c r="I12" i="13"/>
  <c r="J1" i="13"/>
  <c r="H41" i="12"/>
  <c r="L37" i="12"/>
  <c r="N37" i="12" s="1"/>
  <c r="N36" i="12"/>
  <c r="N34" i="12" s="1"/>
  <c r="L36" i="12"/>
  <c r="L33" i="12"/>
  <c r="L31" i="12"/>
  <c r="N31" i="12" s="1"/>
  <c r="L30" i="12"/>
  <c r="N30" i="12" s="1"/>
  <c r="L29" i="12"/>
  <c r="N29" i="12" s="1"/>
  <c r="N28" i="12" s="1"/>
  <c r="N25" i="12" s="1"/>
  <c r="L27" i="12"/>
  <c r="N27" i="12" s="1"/>
  <c r="L24" i="12"/>
  <c r="N24" i="12" s="1"/>
  <c r="L23" i="12"/>
  <c r="N23" i="12" s="1"/>
  <c r="L22" i="12"/>
  <c r="N22" i="12" s="1"/>
  <c r="L21" i="12"/>
  <c r="N21" i="12" s="1"/>
  <c r="L20" i="12"/>
  <c r="N20" i="12" s="1"/>
  <c r="L19" i="12"/>
  <c r="N19" i="12" s="1"/>
  <c r="N17" i="12" s="1"/>
  <c r="L16" i="12"/>
  <c r="N16" i="12" s="1"/>
  <c r="J12" i="12"/>
  <c r="H33" i="11"/>
  <c r="L30" i="11"/>
  <c r="L28" i="11"/>
  <c r="N28" i="11" s="1"/>
  <c r="L27" i="11"/>
  <c r="N27" i="11" s="1"/>
  <c r="N25" i="11" s="1"/>
  <c r="N24" i="11"/>
  <c r="N23" i="11" s="1"/>
  <c r="L24" i="11"/>
  <c r="L23" i="11"/>
  <c r="N22" i="11"/>
  <c r="L22" i="11"/>
  <c r="L21" i="11"/>
  <c r="N21" i="11" s="1"/>
  <c r="N20" i="11"/>
  <c r="L20" i="11"/>
  <c r="L18" i="11"/>
  <c r="N18" i="11" s="1"/>
  <c r="J12" i="11"/>
  <c r="I40" i="10"/>
  <c r="H40" i="10"/>
  <c r="L37" i="10"/>
  <c r="N37" i="10" s="1"/>
  <c r="N36" i="10"/>
  <c r="N34" i="10" s="1"/>
  <c r="L36" i="10"/>
  <c r="L33" i="10"/>
  <c r="L31" i="10"/>
  <c r="N31" i="10" s="1"/>
  <c r="L30" i="10"/>
  <c r="N30" i="10" s="1"/>
  <c r="L29" i="10"/>
  <c r="N29" i="10" s="1"/>
  <c r="L28" i="10"/>
  <c r="N28" i="10" s="1"/>
  <c r="L27" i="10"/>
  <c r="N27" i="10" s="1"/>
  <c r="N25" i="10" s="1"/>
  <c r="L24" i="10"/>
  <c r="L23" i="10"/>
  <c r="L22" i="10"/>
  <c r="L21" i="10"/>
  <c r="L19" i="10"/>
  <c r="N19" i="10" s="1"/>
  <c r="N18" i="10"/>
  <c r="L18" i="10"/>
  <c r="J12" i="10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B16" i="3"/>
  <c r="A23" i="2"/>
  <c r="P18" i="2"/>
  <c r="W18" i="2" s="1"/>
  <c r="BO13" i="2"/>
  <c r="BL13" i="2"/>
  <c r="BJ13" i="2"/>
  <c r="BI13" i="2"/>
  <c r="BG13" i="2"/>
  <c r="BF13" i="2"/>
  <c r="BE13" i="2"/>
  <c r="BD13" i="2"/>
  <c r="BC13" i="2"/>
  <c r="BB13" i="2"/>
  <c r="BA13" i="2" s="1"/>
  <c r="BH13" i="2" s="1"/>
  <c r="AZ13" i="2"/>
  <c r="AY13" i="2"/>
  <c r="AX13" i="2"/>
  <c r="AW13" i="2"/>
  <c r="AS13" i="2"/>
  <c r="AR13" i="2"/>
  <c r="AQ13" i="2"/>
  <c r="AP13" i="2"/>
  <c r="S13" i="2"/>
  <c r="Z13" i="2" s="1"/>
  <c r="E48" i="1"/>
  <c r="E47" i="1"/>
  <c r="E46" i="1"/>
  <c r="E45" i="1"/>
  <c r="E44" i="1"/>
  <c r="E40" i="1"/>
  <c r="E39" i="1"/>
  <c r="E38" i="1"/>
  <c r="E37" i="1"/>
  <c r="E31" i="1"/>
  <c r="E30" i="1"/>
  <c r="E29" i="1"/>
  <c r="I16" i="15" l="1"/>
  <c r="BM21" i="14"/>
  <c r="Z36" i="14"/>
  <c r="AQ36" i="14"/>
  <c r="AP36" i="14"/>
  <c r="Z40" i="14"/>
  <c r="AQ40" i="14"/>
  <c r="AP40" i="14"/>
  <c r="N16" i="11"/>
  <c r="N31" i="11" s="1"/>
  <c r="BM30" i="14"/>
  <c r="BM32" i="14"/>
  <c r="BM34" i="14"/>
  <c r="BM37" i="14"/>
  <c r="BL37" i="14"/>
  <c r="BD49" i="14"/>
  <c r="BE48" i="14"/>
  <c r="BO37" i="14"/>
  <c r="L32" i="10"/>
  <c r="N33" i="10"/>
  <c r="N32" i="10" s="1"/>
  <c r="BL36" i="14"/>
  <c r="BM38" i="14"/>
  <c r="BO38" i="14"/>
  <c r="BL38" i="14"/>
  <c r="BH39" i="14"/>
  <c r="BL39" i="14"/>
  <c r="AZ49" i="14"/>
  <c r="L29" i="11"/>
  <c r="N30" i="11"/>
  <c r="N29" i="11" s="1"/>
  <c r="BM19" i="14"/>
  <c r="BM22" i="14"/>
  <c r="BH23" i="14"/>
  <c r="BO23" i="14"/>
  <c r="M16" i="15"/>
  <c r="I16" i="16" s="1"/>
  <c r="O16" i="15"/>
  <c r="I18" i="16" s="1"/>
  <c r="J18" i="16" s="1"/>
  <c r="N16" i="15"/>
  <c r="I17" i="16" s="1"/>
  <c r="J17" i="16" s="1"/>
  <c r="BM24" i="14"/>
  <c r="BM26" i="14"/>
  <c r="BM33" i="14"/>
  <c r="BH43" i="14"/>
  <c r="BN43" i="14"/>
  <c r="BN13" i="2"/>
  <c r="BM13" i="2"/>
  <c r="N16" i="10"/>
  <c r="N38" i="10" s="1"/>
  <c r="N19" i="11"/>
  <c r="L32" i="12"/>
  <c r="N33" i="12"/>
  <c r="N32" i="12" s="1"/>
  <c r="N38" i="12" s="1"/>
  <c r="BN37" i="14"/>
  <c r="Z39" i="14"/>
  <c r="AQ39" i="14"/>
  <c r="S49" i="14"/>
  <c r="BG49" i="14"/>
  <c r="BC49" i="14"/>
  <c r="BH48" i="14"/>
  <c r="BD48" i="14"/>
  <c r="AZ48" i="14"/>
  <c r="BI47" i="14"/>
  <c r="BE47" i="14"/>
  <c r="BA47" i="14"/>
  <c r="BA46" i="14" s="1"/>
  <c r="BF49" i="14"/>
  <c r="BB49" i="14"/>
  <c r="BG48" i="14"/>
  <c r="BC48" i="14"/>
  <c r="BH47" i="14"/>
  <c r="BD47" i="14"/>
  <c r="AZ47" i="14"/>
  <c r="AZ50" i="14"/>
  <c r="BI49" i="14"/>
  <c r="BE49" i="14"/>
  <c r="BA49" i="14"/>
  <c r="BF48" i="14"/>
  <c r="BF46" i="14" s="1"/>
  <c r="BB48" i="14"/>
  <c r="BG47" i="14"/>
  <c r="BC47" i="14"/>
  <c r="BL18" i="14"/>
  <c r="S50" i="14"/>
  <c r="BL19" i="14"/>
  <c r="BL20" i="14"/>
  <c r="BL21" i="14"/>
  <c r="BL22" i="14"/>
  <c r="AR23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M35" i="14"/>
  <c r="BN35" i="14"/>
  <c r="AP37" i="14"/>
  <c r="AS38" i="14"/>
  <c r="Z38" i="14"/>
  <c r="AP39" i="14"/>
  <c r="BM40" i="14"/>
  <c r="S47" i="14"/>
  <c r="BI48" i="14"/>
  <c r="BH49" i="14"/>
  <c r="K17" i="18"/>
  <c r="K29" i="18" s="1"/>
  <c r="J18" i="19" s="1"/>
  <c r="Z18" i="14"/>
  <c r="Z49" i="14" s="1"/>
  <c r="BM18" i="14"/>
  <c r="Z19" i="14"/>
  <c r="Z50" i="14" s="1"/>
  <c r="Z23" i="14"/>
  <c r="BO35" i="14"/>
  <c r="BM36" i="14"/>
  <c r="BN36" i="14"/>
  <c r="AQ37" i="14"/>
  <c r="BM39" i="14"/>
  <c r="BO39" i="14"/>
  <c r="BN39" i="14"/>
  <c r="BB47" i="14"/>
  <c r="J55" i="18"/>
  <c r="J29" i="18" s="1"/>
  <c r="I18" i="19" s="1"/>
  <c r="L15" i="21"/>
  <c r="G17" i="21"/>
  <c r="P17" i="15"/>
  <c r="P16" i="15" s="1"/>
  <c r="I19" i="16" s="1"/>
  <c r="J19" i="16" s="1"/>
  <c r="K22" i="17"/>
  <c r="K27" i="17" s="1"/>
  <c r="K45" i="18" s="1"/>
  <c r="N17" i="21"/>
  <c r="L17" i="21" s="1"/>
  <c r="I18" i="21"/>
  <c r="G18" i="21" s="1"/>
  <c r="I20" i="21"/>
  <c r="I22" i="21"/>
  <c r="N22" i="21"/>
  <c r="I31" i="21"/>
  <c r="G31" i="21" s="1"/>
  <c r="I33" i="21"/>
  <c r="G33" i="21" s="1"/>
  <c r="I35" i="21"/>
  <c r="G35" i="21" s="1"/>
  <c r="BO40" i="14"/>
  <c r="AQ41" i="14"/>
  <c r="BO41" i="14"/>
  <c r="BO42" i="14"/>
  <c r="BO43" i="14"/>
  <c r="L40" i="18"/>
  <c r="I15" i="21"/>
  <c r="G15" i="21" s="1"/>
  <c r="N15" i="21"/>
  <c r="I16" i="21"/>
  <c r="G16" i="21" s="1"/>
  <c r="N19" i="21"/>
  <c r="L19" i="21" s="1"/>
  <c r="N20" i="21"/>
  <c r="N30" i="21"/>
  <c r="L30" i="21" s="1"/>
  <c r="N32" i="21"/>
  <c r="L32" i="21" s="1"/>
  <c r="N34" i="21"/>
  <c r="L34" i="21" s="1"/>
  <c r="BL40" i="14"/>
  <c r="BL41" i="14"/>
  <c r="BL42" i="14"/>
  <c r="AR43" i="14"/>
  <c r="BL43" i="14"/>
  <c r="N16" i="21"/>
  <c r="L16" i="21" s="1"/>
  <c r="I19" i="21"/>
  <c r="G19" i="21" s="1"/>
  <c r="I21" i="21"/>
  <c r="I30" i="21"/>
  <c r="G30" i="21" s="1"/>
  <c r="I32" i="21"/>
  <c r="G32" i="21" s="1"/>
  <c r="I34" i="21"/>
  <c r="G34" i="21" s="1"/>
  <c r="Z43" i="14"/>
  <c r="N18" i="21"/>
  <c r="L18" i="21" s="1"/>
  <c r="N21" i="21"/>
  <c r="N31" i="21"/>
  <c r="L31" i="21" s="1"/>
  <c r="N33" i="21"/>
  <c r="L33" i="21" s="1"/>
  <c r="M23" i="20" l="1"/>
  <c r="I22" i="20"/>
  <c r="I23" i="20"/>
  <c r="BB46" i="14"/>
  <c r="Z47" i="14"/>
  <c r="Z46" i="14" s="1"/>
  <c r="BC46" i="14"/>
  <c r="AZ46" i="14"/>
  <c r="BE46" i="14"/>
  <c r="S46" i="14"/>
  <c r="BG46" i="14"/>
  <c r="BD46" i="14"/>
  <c r="BI46" i="14"/>
  <c r="BH46" i="14"/>
  <c r="I15" i="16"/>
  <c r="J16" i="16"/>
  <c r="J15" i="16" s="1"/>
  <c r="I19" i="20" l="1"/>
  <c r="I23" i="16"/>
  <c r="I21" i="16"/>
  <c r="I22" i="16"/>
  <c r="I20" i="16"/>
  <c r="I14" i="13"/>
  <c r="J23" i="16"/>
  <c r="J21" i="16"/>
  <c r="J22" i="16"/>
  <c r="J20" i="16"/>
  <c r="M19" i="20"/>
  <c r="J14" i="13"/>
  <c r="J15" i="13" l="1"/>
  <c r="K15" i="18" s="1"/>
  <c r="J16" i="13"/>
  <c r="K16" i="18" s="1"/>
  <c r="I15" i="13"/>
  <c r="J15" i="18" s="1"/>
  <c r="I16" i="13"/>
  <c r="J16" i="18" s="1"/>
  <c r="P20" i="21"/>
  <c r="P18" i="20"/>
  <c r="P21" i="21"/>
  <c r="K20" i="21"/>
  <c r="K21" i="21"/>
  <c r="L18" i="20"/>
  <c r="J26" i="18" l="1"/>
  <c r="I15" i="19" s="1"/>
  <c r="I49" i="18"/>
  <c r="J21" i="21"/>
  <c r="G21" i="21" s="1"/>
  <c r="J22" i="21"/>
  <c r="G22" i="21" s="1"/>
  <c r="J20" i="21"/>
  <c r="G20" i="21" s="1"/>
  <c r="O20" i="21"/>
  <c r="L20" i="21" s="1"/>
  <c r="O22" i="21"/>
  <c r="L22" i="21" s="1"/>
  <c r="O21" i="21"/>
  <c r="L21" i="21" s="1"/>
  <c r="I53" i="18"/>
  <c r="J27" i="18"/>
  <c r="I16" i="19" s="1"/>
  <c r="K53" i="18"/>
  <c r="K27" i="18"/>
  <c r="J16" i="19" s="1"/>
  <c r="K26" i="18"/>
  <c r="J15" i="19" s="1"/>
  <c r="K49" i="18"/>
  <c r="M22" i="20" l="1"/>
  <c r="J21" i="19"/>
  <c r="J23" i="19" s="1"/>
  <c r="I21" i="19"/>
  <c r="I23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13" authorId="0" shapeId="0" xr:uid="{00000000-0006-0000-1200-000001000000}">
      <text>
        <r>
          <rPr>
            <sz val="9"/>
            <color indexed="81"/>
            <rFont val="Tahoma"/>
            <family val="2"/>
          </rPr>
          <t>указывается КОЛИЧЕСТВО нарушений</t>
        </r>
      </text>
    </comment>
  </commentList>
</comments>
</file>

<file path=xl/sharedStrings.xml><?xml version="1.0" encoding="utf-8"?>
<sst xmlns="http://schemas.openxmlformats.org/spreadsheetml/2006/main" count="6642" uniqueCount="2472">
  <si>
    <t>Код организационной причины аварии</t>
  </si>
  <si>
    <t>Логика</t>
  </si>
  <si>
    <t>Кварталы</t>
  </si>
  <si>
    <t>Года</t>
  </si>
  <si>
    <t>Месяц-текст</t>
  </si>
  <si>
    <t>Месяц-число</t>
  </si>
  <si>
    <t>День-число</t>
  </si>
  <si>
    <t>LINK_DOC_MASK</t>
  </si>
  <si>
    <t>XML_ORG_LIST_TAG_NAMES</t>
  </si>
  <si>
    <t>doc_list</t>
  </si>
  <si>
    <t>TestMode</t>
  </si>
  <si>
    <t>SphereList</t>
  </si>
  <si>
    <t>SphereList_ru</t>
  </si>
  <si>
    <t>TYPE_OBGECT</t>
  </si>
  <si>
    <t>TYPE_TERMINATION</t>
  </si>
  <si>
    <t>VID_END_EE</t>
  </si>
  <si>
    <t>VID_OBJECT</t>
  </si>
  <si>
    <t>bln_binary</t>
  </si>
  <si>
    <t>Алтайский край</t>
  </si>
  <si>
    <t>3.4.1</t>
  </si>
  <si>
    <t>да</t>
  </si>
  <si>
    <t>I квартал</t>
  </si>
  <si>
    <t>январь</t>
  </si>
  <si>
    <t>01</t>
  </si>
  <si>
    <t>^https:\/\/dev\.data\-platform\.ru\/lk\/ru\_6\_55\/extensions\/filestorage\/api\/Filestorage\/GetFile\?fileGuid=[0-9a-f]{8}-[0-9a-f]{4}-[0-9a-f]{4}-[0-9a-f]{4}-[0-9a-f]{12}$</t>
  </si>
  <si>
    <t>NSRF</t>
  </si>
  <si>
    <t>отсутствует</t>
  </si>
  <si>
    <t>VO</t>
  </si>
  <si>
    <t>Водоотведение</t>
  </si>
  <si>
    <t>КЛ</t>
  </si>
  <si>
    <t>П</t>
  </si>
  <si>
    <t>0</t>
  </si>
  <si>
    <t>Амурская область</t>
  </si>
  <si>
    <t>3.4.2</t>
  </si>
  <si>
    <t>нет</t>
  </si>
  <si>
    <t>I полугодие</t>
  </si>
  <si>
    <t>февраль</t>
  </si>
  <si>
    <t>02</t>
  </si>
  <si>
    <t>^https:\/\/data\-platform\.ru\/lk\/ru\_6\_55\/extensions\/filestorage\/api\/Filestorage\/GetFile\?fileGuid=[0-9a-f]{8}-[0-9a-f]{4}-[0-9a-f]{4}-[0-9a-f]{4}-[0-9a-f]{12}$</t>
  </si>
  <si>
    <t>MR_NAME</t>
  </si>
  <si>
    <t>ссылка на документ</t>
  </si>
  <si>
    <t>GAS</t>
  </si>
  <si>
    <t>Газоснабжение</t>
  </si>
  <si>
    <t>ВЛ</t>
  </si>
  <si>
    <t>А</t>
  </si>
  <si>
    <t>1</t>
  </si>
  <si>
    <t>Архангельская область</t>
  </si>
  <si>
    <t>3.4.3</t>
  </si>
  <si>
    <t>9 месяцев</t>
  </si>
  <si>
    <t>март</t>
  </si>
  <si>
    <t>03</t>
  </si>
  <si>
    <t>^https:\/\/new-tarif\.omskportal\.ru\/lk\/ru\_6\_55\/extensions\/filestorage\/api\/Filestorage\/GetFile\?fileGuid=[0-9a-f]{8}-[0-9a-f]{4}-[0-9a-f]{4}-[0-9a-f]{4}-[0-9a-f]{12}$</t>
  </si>
  <si>
    <t>OKTMO_MR_NAME</t>
  </si>
  <si>
    <t>HOT_VS</t>
  </si>
  <si>
    <t>Горячее водоснабжение</t>
  </si>
  <si>
    <t>ПС</t>
  </si>
  <si>
    <t>В</t>
  </si>
  <si>
    <t>КВЛ</t>
  </si>
  <si>
    <t>Астраханская область</t>
  </si>
  <si>
    <t>3.4.4</t>
  </si>
  <si>
    <t>год</t>
  </si>
  <si>
    <t>апрель</t>
  </si>
  <si>
    <t>04</t>
  </si>
  <si>
    <t>^http:\/\/tarif.omskportal\.ru\/Portal\/DownloadPage\.aspx\?type=15&amp;guid=[0-9a-f]{8}-[0-9a-f]{4}-[0-9a-f]{4}-[0-9a-f]{4}-[0-9a-f]{12}$</t>
  </si>
  <si>
    <t>MO_NAME</t>
  </si>
  <si>
    <t>ТП</t>
  </si>
  <si>
    <t>Белгородская область</t>
  </si>
  <si>
    <t>3.4.5</t>
  </si>
  <si>
    <t>Выбранный регион</t>
  </si>
  <si>
    <t>май</t>
  </si>
  <si>
    <t>05</t>
  </si>
  <si>
    <t>OKTMO_NAME</t>
  </si>
  <si>
    <t>РП</t>
  </si>
  <si>
    <t>Брянская область</t>
  </si>
  <si>
    <t>3.4.6</t>
  </si>
  <si>
    <t>июнь</t>
  </si>
  <si>
    <t>06</t>
  </si>
  <si>
    <t>ORG_NAME</t>
  </si>
  <si>
    <t>VS</t>
  </si>
  <si>
    <t>Холодное водоснабжение</t>
  </si>
  <si>
    <t>Владимирская область</t>
  </si>
  <si>
    <t>3.4.7.1</t>
  </si>
  <si>
    <t>июль</t>
  </si>
  <si>
    <t>07</t>
  </si>
  <si>
    <t>INN_NAME</t>
  </si>
  <si>
    <t>EE</t>
  </si>
  <si>
    <t>Электроэнергетика</t>
  </si>
  <si>
    <t>Волгоградская область</t>
  </si>
  <si>
    <t>3.4.7.2</t>
  </si>
  <si>
    <t>II квартал</t>
  </si>
  <si>
    <t>август</t>
  </si>
  <si>
    <t>08</t>
  </si>
  <si>
    <t>KPP_NAME</t>
  </si>
  <si>
    <t>VS_VO</t>
  </si>
  <si>
    <t>Водоснабжение и водоотведение</t>
  </si>
  <si>
    <t>Вологодская область</t>
  </si>
  <si>
    <t>3.4.7.3</t>
  </si>
  <si>
    <t>III квартал</t>
  </si>
  <si>
    <t>сентябрь</t>
  </si>
  <si>
    <t>09</t>
  </si>
  <si>
    <t>VDET_NAME</t>
  </si>
  <si>
    <t>SOCIAL</t>
  </si>
  <si>
    <t>Социальные услуги</t>
  </si>
  <si>
    <t>Воронежская область</t>
  </si>
  <si>
    <t>3.4.7.4</t>
  </si>
  <si>
    <t>IV квартал</t>
  </si>
  <si>
    <t>октябрь</t>
  </si>
  <si>
    <t>XML_MR_MO_OKTMO_LIST_TAG_NAMES</t>
  </si>
  <si>
    <t>г. Москва</t>
  </si>
  <si>
    <t>3.4.8.1</t>
  </si>
  <si>
    <t>ноябрь</t>
  </si>
  <si>
    <t>г.Санкт-Петербург</t>
  </si>
  <si>
    <t>3.4.8.2</t>
  </si>
  <si>
    <t>декабрь</t>
  </si>
  <si>
    <t>г.Севастополь</t>
  </si>
  <si>
    <t>3.4.8.3</t>
  </si>
  <si>
    <t>FACT_YEAR</t>
  </si>
  <si>
    <t>Еврейская автономная область</t>
  </si>
  <si>
    <t>3.4.8.4</t>
  </si>
  <si>
    <t>Забайкальский край</t>
  </si>
  <si>
    <t>3.4.8.5</t>
  </si>
  <si>
    <t>Ивановская область</t>
  </si>
  <si>
    <t>3.4.9.1</t>
  </si>
  <si>
    <t>TemplateState</t>
  </si>
  <si>
    <t>Иркутская область</t>
  </si>
  <si>
    <t>3.4.9.2</t>
  </si>
  <si>
    <t>FORMED</t>
  </si>
  <si>
    <t>Кабардино-Балкарская республика</t>
  </si>
  <si>
    <t>3.4.9.3</t>
  </si>
  <si>
    <t>XML_DICTIONARIES_LIST_TAG_NAMES</t>
  </si>
  <si>
    <t>Калининградская область</t>
  </si>
  <si>
    <t>3.4.10</t>
  </si>
  <si>
    <t>SECTION_NAME</t>
  </si>
  <si>
    <t>Калужская область</t>
  </si>
  <si>
    <t>3.4.11</t>
  </si>
  <si>
    <t>SUBSECTION_NAME</t>
  </si>
  <si>
    <t>Камчатский край</t>
  </si>
  <si>
    <t>3.4.12.1</t>
  </si>
  <si>
    <t>NAME</t>
  </si>
  <si>
    <t>Карачаево-Черкесская республика</t>
  </si>
  <si>
    <t>3.4.12.2</t>
  </si>
  <si>
    <t>CODE</t>
  </si>
  <si>
    <t>Кемеровская область</t>
  </si>
  <si>
    <t>3.4.12.3</t>
  </si>
  <si>
    <t>Кировская область</t>
  </si>
  <si>
    <t>3.4.12.4</t>
  </si>
  <si>
    <t>Костромская область</t>
  </si>
  <si>
    <t>3.4.12.5</t>
  </si>
  <si>
    <t>Краснодарский край</t>
  </si>
  <si>
    <t>3.4.13.1</t>
  </si>
  <si>
    <t>Красноярский край</t>
  </si>
  <si>
    <t>3.4.13.2</t>
  </si>
  <si>
    <t>OVER_PERIOD_3</t>
  </si>
  <si>
    <t>Курганская область</t>
  </si>
  <si>
    <t>3.4.13.3</t>
  </si>
  <si>
    <t>SAX_PARSER_FEATURE</t>
  </si>
  <si>
    <t>Курская область</t>
  </si>
  <si>
    <t>3.4.13.4</t>
  </si>
  <si>
    <t>NO</t>
  </si>
  <si>
    <t>Ленинградская область</t>
  </si>
  <si>
    <t>3.4.14</t>
  </si>
  <si>
    <t>Липецкая область</t>
  </si>
  <si>
    <t>Магаданская область</t>
  </si>
  <si>
    <t>POSSIBLE_PERIOD_LENGTH</t>
  </si>
  <si>
    <t>Московская область</t>
  </si>
  <si>
    <t>3</t>
  </si>
  <si>
    <t>Мурманская область</t>
  </si>
  <si>
    <t>4</t>
  </si>
  <si>
    <t>Ненецкий автономный округ</t>
  </si>
  <si>
    <t>OVER_PERIOD_4</t>
  </si>
  <si>
    <t>5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</si>
  <si>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</si>
  <si>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</si>
  <si>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</si>
  <si>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</si>
  <si>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</si>
  <si>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</si>
  <si>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</si>
  <si>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OVER_PERIOD_5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</si>
  <si>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</si>
  <si>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</si>
  <si>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</si>
  <si>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</si>
  <si>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</si>
  <si>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</si>
  <si>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</si>
  <si>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</si>
  <si>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</si>
  <si>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</si>
  <si>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</si>
  <si>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</si>
  <si>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</si>
  <si>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</si>
  <si>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</si>
  <si>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</si>
  <si>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</si>
  <si>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</si>
  <si>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</si>
  <si>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</si>
  <si>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</si>
  <si>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</si>
  <si>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</si>
  <si>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</si>
  <si>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</si>
  <si>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</si>
  <si>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</si>
  <si>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</si>
  <si>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</si>
  <si>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</si>
  <si>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</si>
  <si>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</si>
  <si>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</si>
  <si>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</si>
  <si>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</si>
  <si>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</si>
  <si>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</si>
  <si>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</si>
  <si>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</si>
  <si>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</si>
  <si>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</si>
  <si>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</si>
  <si>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</si>
  <si>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add_coms</t>
  </si>
  <si>
    <t>×</t>
  </si>
  <si>
    <t>add_02</t>
  </si>
  <si>
    <t>1.1</t>
  </si>
  <si>
    <t>add_04</t>
  </si>
  <si>
    <t>add_DOC</t>
  </si>
  <si>
    <t>EE.CALC.QUALITY.FACT</t>
  </si>
  <si>
    <t xml:space="preserve"> (требуется обновление)</t>
  </si>
  <si>
    <t>EE.CALC.QUALITY.FACT.2023.EIAS</t>
  </si>
  <si>
    <t>Версия отчёта: 1.0.5</t>
  </si>
  <si>
    <t>Расчет уровня надежности и качества поставляемых товаров и услуг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</si>
  <si>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</si>
  <si>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</si>
  <si>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</si>
  <si>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</si>
  <si>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</si>
  <si>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</si>
  <si>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</si>
  <si>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</si>
  <si>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</si>
  <si>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</si>
  <si>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>МР</t>
  </si>
  <si>
    <t>МО</t>
  </si>
  <si>
    <t>МО_ОКТМО</t>
  </si>
  <si>
    <t>ИМЯ ДИАПАЗОНА</t>
  </si>
  <si>
    <t>город Москва</t>
  </si>
  <si>
    <t>45000000</t>
  </si>
  <si>
    <t>MO_LIST_2</t>
  </si>
  <si>
    <t>городской округ Троицк</t>
  </si>
  <si>
    <t>45931000</t>
  </si>
  <si>
    <t>городской округ Щербинка</t>
  </si>
  <si>
    <t>45932000</t>
  </si>
  <si>
    <t>муниципальное образование Савелки</t>
  </si>
  <si>
    <t>45377000</t>
  </si>
  <si>
    <t>муниципальный округ Академический</t>
  </si>
  <si>
    <t>45397000</t>
  </si>
  <si>
    <t>муниципальный округ Алексеевский</t>
  </si>
  <si>
    <t>45349000</t>
  </si>
  <si>
    <t>муниципальный округ Алтуфьевский</t>
  </si>
  <si>
    <t>45350000</t>
  </si>
  <si>
    <t>муниципальный округ Арбат</t>
  </si>
  <si>
    <t>45374000</t>
  </si>
  <si>
    <t>муниципальный округ Аэропорт</t>
  </si>
  <si>
    <t>45333000</t>
  </si>
  <si>
    <t>муниципальный округ Бабушкинский</t>
  </si>
  <si>
    <t>45351000</t>
  </si>
  <si>
    <t>муниципальный округ Басманный</t>
  </si>
  <si>
    <t>45375000</t>
  </si>
  <si>
    <t>муниципальный округ Беговой</t>
  </si>
  <si>
    <t>45334000</t>
  </si>
  <si>
    <t>муниципальный округ Бескудниковский</t>
  </si>
  <si>
    <t>45335000</t>
  </si>
  <si>
    <t>муниципальный округ Бибирево</t>
  </si>
  <si>
    <t>45352000</t>
  </si>
  <si>
    <t>муниципальный округ Бирюлево Восточное</t>
  </si>
  <si>
    <t>45911000</t>
  </si>
  <si>
    <t>муниципальный округ Бирюлево Западное</t>
  </si>
  <si>
    <t>45912000</t>
  </si>
  <si>
    <t>муниципальный округ Богородское</t>
  </si>
  <si>
    <t>45301000</t>
  </si>
  <si>
    <t>муниципальный округ Братеево</t>
  </si>
  <si>
    <t>45913000</t>
  </si>
  <si>
    <t>муниципальный округ Бутырский</t>
  </si>
  <si>
    <t>45353000</t>
  </si>
  <si>
    <t>муниципальный округ Вешняки</t>
  </si>
  <si>
    <t>45302000</t>
  </si>
  <si>
    <t>муниципальный округ Внуково</t>
  </si>
  <si>
    <t>45317000</t>
  </si>
  <si>
    <t>муниципальный округ Войковский</t>
  </si>
  <si>
    <t>45336000</t>
  </si>
  <si>
    <t>муниципальный округ Восточное Дегунино</t>
  </si>
  <si>
    <t>45337000</t>
  </si>
  <si>
    <t>муниципальный округ Восточное Измайлово</t>
  </si>
  <si>
    <t>45303000</t>
  </si>
  <si>
    <t>муниципальный округ Восточный</t>
  </si>
  <si>
    <t>45304000</t>
  </si>
  <si>
    <t>муниципальный округ Выхино-Жулебино</t>
  </si>
  <si>
    <t>45385000</t>
  </si>
  <si>
    <t>муниципальный округ Гагаринский</t>
  </si>
  <si>
    <t>45398000</t>
  </si>
  <si>
    <t>муниципальный округ Головинский</t>
  </si>
  <si>
    <t>45338000</t>
  </si>
  <si>
    <t>муниципальный округ Гольяново</t>
  </si>
  <si>
    <t>45305000</t>
  </si>
  <si>
    <t>муниципальный округ Даниловский</t>
  </si>
  <si>
    <t>45914000</t>
  </si>
  <si>
    <t>муниципальный округ Дмитровский</t>
  </si>
  <si>
    <t>45339000</t>
  </si>
  <si>
    <t>муниципальный округ Донской</t>
  </si>
  <si>
    <t>45915000</t>
  </si>
  <si>
    <t>муниципальный округ Дорогомилово</t>
  </si>
  <si>
    <t>45318000</t>
  </si>
  <si>
    <t>муниципальный округ Замоскворечье</t>
  </si>
  <si>
    <t>45376000</t>
  </si>
  <si>
    <t>муниципальный округ Западное Дегунино</t>
  </si>
  <si>
    <t>45340000</t>
  </si>
  <si>
    <t>муниципальный округ Зюзино</t>
  </si>
  <si>
    <t>45901000</t>
  </si>
  <si>
    <t>муниципальный округ Зябликово</t>
  </si>
  <si>
    <t>45916000</t>
  </si>
  <si>
    <t>муниципальный округ Ивановское</t>
  </si>
  <si>
    <t>45306000</t>
  </si>
  <si>
    <t>муниципальный округ Измайлово</t>
  </si>
  <si>
    <t>45307000</t>
  </si>
  <si>
    <t>муниципальный округ Капотня</t>
  </si>
  <si>
    <t>45386000</t>
  </si>
  <si>
    <t>муниципальный округ Коньково</t>
  </si>
  <si>
    <t>45902000</t>
  </si>
  <si>
    <t>муниципальный округ Коптево</t>
  </si>
  <si>
    <t>45341000</t>
  </si>
  <si>
    <t>муниципальный округ Косино-Ухтомский</t>
  </si>
  <si>
    <t>45308000</t>
  </si>
  <si>
    <t>муниципальный округ Котловка</t>
  </si>
  <si>
    <t>45903000</t>
  </si>
  <si>
    <t>муниципальный округ Красносельский</t>
  </si>
  <si>
    <t>45378000</t>
  </si>
  <si>
    <t>муниципальный округ Крылатское</t>
  </si>
  <si>
    <t>45319000</t>
  </si>
  <si>
    <t>муниципальный округ Крюково</t>
  </si>
  <si>
    <t>45330000</t>
  </si>
  <si>
    <t>муниципальный округ Кузьминки</t>
  </si>
  <si>
    <t>45387000</t>
  </si>
  <si>
    <t>муниципальный округ Кунцево</t>
  </si>
  <si>
    <t>45320000</t>
  </si>
  <si>
    <t>муниципальный округ Куркино</t>
  </si>
  <si>
    <t>45366000</t>
  </si>
  <si>
    <t>муниципальный округ Левобережный</t>
  </si>
  <si>
    <t>45342000</t>
  </si>
  <si>
    <t>муниципальный округ Лефортово</t>
  </si>
  <si>
    <t>45388000</t>
  </si>
  <si>
    <t>муниципальный округ Лианозово</t>
  </si>
  <si>
    <t>45354000</t>
  </si>
  <si>
    <t>муниципальный округ Ломоносовский</t>
  </si>
  <si>
    <t>45904000</t>
  </si>
  <si>
    <t>муниципальный округ Лосиноостровский</t>
  </si>
  <si>
    <t>45355000</t>
  </si>
  <si>
    <t>муниципальный округ Люблино</t>
  </si>
  <si>
    <t>45389000</t>
  </si>
  <si>
    <t>муниципальный округ Марфино</t>
  </si>
  <si>
    <t>45356000</t>
  </si>
  <si>
    <t>муниципальный округ Марьина роща</t>
  </si>
  <si>
    <t>45357000</t>
  </si>
  <si>
    <t>муниципальный округ Марьино</t>
  </si>
  <si>
    <t>45390000</t>
  </si>
  <si>
    <t>муниципальный округ Матушкино</t>
  </si>
  <si>
    <t>45331000</t>
  </si>
  <si>
    <t>муниципальный округ Метрогородок</t>
  </si>
  <si>
    <t>45311000</t>
  </si>
  <si>
    <t>муниципальный округ Мещанский</t>
  </si>
  <si>
    <t>45379000</t>
  </si>
  <si>
    <t>муниципальный округ Митино</t>
  </si>
  <si>
    <t>45367000</t>
  </si>
  <si>
    <t>муниципальный округ Можайский</t>
  </si>
  <si>
    <t>45321000</t>
  </si>
  <si>
    <t>муниципальный округ Молжаниновский</t>
  </si>
  <si>
    <t>45343000</t>
  </si>
  <si>
    <t>муниципальный округ Москворечье-Сабурово</t>
  </si>
  <si>
    <t>45917000</t>
  </si>
  <si>
    <t>муниципальный округ Нагатино-Садовники</t>
  </si>
  <si>
    <t>45918000</t>
  </si>
  <si>
    <t>муниципальный округ Нагатинский затон</t>
  </si>
  <si>
    <t>45919000</t>
  </si>
  <si>
    <t>муниципальный округ Нагорный</t>
  </si>
  <si>
    <t>45920000</t>
  </si>
  <si>
    <t>муниципальный округ Некрасовка</t>
  </si>
  <si>
    <t>45391000</t>
  </si>
  <si>
    <t>муниципальный округ Нижегородский</t>
  </si>
  <si>
    <t>45392000</t>
  </si>
  <si>
    <t>муниципальный округ Ново-Переделкино</t>
  </si>
  <si>
    <t>45322000</t>
  </si>
  <si>
    <t>муниципальный округ Новогиреево</t>
  </si>
  <si>
    <t>45309000</t>
  </si>
  <si>
    <t>муниципальный округ Новокосино</t>
  </si>
  <si>
    <t>45310000</t>
  </si>
  <si>
    <t>муниципальный округ Обручевский</t>
  </si>
  <si>
    <t>45905000</t>
  </si>
  <si>
    <t>муниципальный округ Орехово-Борисово Северное</t>
  </si>
  <si>
    <t>45921000</t>
  </si>
  <si>
    <t>муниципальный округ Орехово-Борисово Южное</t>
  </si>
  <si>
    <t>45922000</t>
  </si>
  <si>
    <t>муниципальный округ Останкинский</t>
  </si>
  <si>
    <t>45358000</t>
  </si>
  <si>
    <t>муниципальный округ Отрадное</t>
  </si>
  <si>
    <t>45359000</t>
  </si>
  <si>
    <t>муниципальный округ Очаково-Матвеевское</t>
  </si>
  <si>
    <t>45323000</t>
  </si>
  <si>
    <t>муниципальный округ Перово</t>
  </si>
  <si>
    <t>45312000</t>
  </si>
  <si>
    <t>муниципальный округ Печатники</t>
  </si>
  <si>
    <t>45393000</t>
  </si>
  <si>
    <t>муниципальный округ Покровское-Стрешнево</t>
  </si>
  <si>
    <t>45368000</t>
  </si>
  <si>
    <t>муниципальный округ Преображенское</t>
  </si>
  <si>
    <t>45316000</t>
  </si>
  <si>
    <t>муниципальный округ Пресненский</t>
  </si>
  <si>
    <t>45380000</t>
  </si>
  <si>
    <t>муниципальный округ Проспект Вернадского</t>
  </si>
  <si>
    <t>45324000</t>
  </si>
  <si>
    <t>муниципальный округ Раменки</t>
  </si>
  <si>
    <t>45325000</t>
  </si>
  <si>
    <t>муниципальный округ Ростокино</t>
  </si>
  <si>
    <t>45360000</t>
  </si>
  <si>
    <t>муниципальный округ Рязанский</t>
  </si>
  <si>
    <t>45394000</t>
  </si>
  <si>
    <t>муниципальный округ Савеловский</t>
  </si>
  <si>
    <t>45344000</t>
  </si>
  <si>
    <t>муниципальный округ Свиблово</t>
  </si>
  <si>
    <t>45361000</t>
  </si>
  <si>
    <t>муниципальный округ Северное Бутово</t>
  </si>
  <si>
    <t>45906000</t>
  </si>
  <si>
    <t>муниципальный округ Северное Измайлово</t>
  </si>
  <si>
    <t>45313000</t>
  </si>
  <si>
    <t>муниципальный округ Северное Медведково</t>
  </si>
  <si>
    <t>45362000</t>
  </si>
  <si>
    <t>муниципальный округ Северное Тушино</t>
  </si>
  <si>
    <t>45369000</t>
  </si>
  <si>
    <t>муниципальный округ Северный</t>
  </si>
  <si>
    <t>45363000</t>
  </si>
  <si>
    <t>муниципальный округ Силино</t>
  </si>
  <si>
    <t>45332000</t>
  </si>
  <si>
    <t>муниципальный округ Сокол</t>
  </si>
  <si>
    <t>45345000</t>
  </si>
  <si>
    <t>муниципальный округ Соколиная гора</t>
  </si>
  <si>
    <t>45314000</t>
  </si>
  <si>
    <t>муниципальный округ Сокольники</t>
  </si>
  <si>
    <t>45315000</t>
  </si>
  <si>
    <t>муниципальный округ Солнцево</t>
  </si>
  <si>
    <t>45326000</t>
  </si>
  <si>
    <t>муниципальный округ Старое Крюково</t>
  </si>
  <si>
    <t>45927000</t>
  </si>
  <si>
    <t>муниципальный округ Строгино</t>
  </si>
  <si>
    <t>45370000</t>
  </si>
  <si>
    <t>муниципальный округ Таганский</t>
  </si>
  <si>
    <t>45381000</t>
  </si>
  <si>
    <t>муниципальный округ Тверской</t>
  </si>
  <si>
    <t>45382000</t>
  </si>
  <si>
    <t>муниципальный округ Текстильщики</t>
  </si>
  <si>
    <t>45395000</t>
  </si>
  <si>
    <t>муниципальный округ Теплый Стан</t>
  </si>
  <si>
    <t>45907000</t>
  </si>
  <si>
    <t>муниципальный округ Тимирязевский</t>
  </si>
  <si>
    <t>45346000</t>
  </si>
  <si>
    <t>муниципальный округ Тропарево-Никулино</t>
  </si>
  <si>
    <t>45327000</t>
  </si>
  <si>
    <t>муниципальный округ Филевский парк</t>
  </si>
  <si>
    <t>45328000</t>
  </si>
  <si>
    <t>муниципальный округ Фили-Давыдково</t>
  </si>
  <si>
    <t>45329000</t>
  </si>
  <si>
    <t>муниципальный округ Хамовники</t>
  </si>
  <si>
    <t>45383000</t>
  </si>
  <si>
    <t>муниципальный округ Ховрино</t>
  </si>
  <si>
    <t>45347000</t>
  </si>
  <si>
    <t>муниципальный округ Хорошево-Мневники</t>
  </si>
  <si>
    <t>45371000</t>
  </si>
  <si>
    <t>муниципальный округ Хорошевский</t>
  </si>
  <si>
    <t>45348000</t>
  </si>
  <si>
    <t>муниципальный округ Царицыно</t>
  </si>
  <si>
    <t>45923000</t>
  </si>
  <si>
    <t>муниципальный округ Черемушки</t>
  </si>
  <si>
    <t>45908000</t>
  </si>
  <si>
    <t>муниципальный округ Чертаново Северное</t>
  </si>
  <si>
    <t>45924000</t>
  </si>
  <si>
    <t>муниципальный округ Чертаново Центральное</t>
  </si>
  <si>
    <t>45925000</t>
  </si>
  <si>
    <t>муниципальный округ Чертаново Южное</t>
  </si>
  <si>
    <t>45926000</t>
  </si>
  <si>
    <t>муниципальный округ Щукино</t>
  </si>
  <si>
    <t>45372000</t>
  </si>
  <si>
    <t>муниципальный округ Южное Бутово</t>
  </si>
  <si>
    <t>45909000</t>
  </si>
  <si>
    <t>муниципальный округ Южное Медведково</t>
  </si>
  <si>
    <t>45364000</t>
  </si>
  <si>
    <t>муниципальный округ Южное Тушино</t>
  </si>
  <si>
    <t>45373000</t>
  </si>
  <si>
    <t>муниципальный округ Южнопортовый</t>
  </si>
  <si>
    <t>45396000</t>
  </si>
  <si>
    <t>муниципальный округ Якиманка</t>
  </si>
  <si>
    <t>45384000</t>
  </si>
  <si>
    <t>муниципальный округ Ярославский</t>
  </si>
  <si>
    <t>45365000</t>
  </si>
  <si>
    <t>муниципальный округ Ясенево</t>
  </si>
  <si>
    <t>45910000</t>
  </si>
  <si>
    <t>поселение "Мосрентген"</t>
  </si>
  <si>
    <t>45953000</t>
  </si>
  <si>
    <t>поселение Внуковское</t>
  </si>
  <si>
    <t>45941000</t>
  </si>
  <si>
    <t>поселение Вороновское</t>
  </si>
  <si>
    <t>45943000</t>
  </si>
  <si>
    <t>поселение Воскресенское</t>
  </si>
  <si>
    <t>45942000</t>
  </si>
  <si>
    <t>поселение Десеновское</t>
  </si>
  <si>
    <t>45944000</t>
  </si>
  <si>
    <t>поселение Киевский</t>
  </si>
  <si>
    <t>45945000</t>
  </si>
  <si>
    <t>поселение Кленовское</t>
  </si>
  <si>
    <t>45946000</t>
  </si>
  <si>
    <t>поселение Кокошкино</t>
  </si>
  <si>
    <t>45947000</t>
  </si>
  <si>
    <t>поселение Краснопахорское</t>
  </si>
  <si>
    <t>45948000</t>
  </si>
  <si>
    <t>поселение Марушкинское</t>
  </si>
  <si>
    <t>45949000</t>
  </si>
  <si>
    <t>поселение Михайлово-Ярцевское</t>
  </si>
  <si>
    <t>45951000</t>
  </si>
  <si>
    <t>поселение Московский</t>
  </si>
  <si>
    <t>45952000</t>
  </si>
  <si>
    <t>поселение Новофедоровское</t>
  </si>
  <si>
    <t>45954000</t>
  </si>
  <si>
    <t>поселение Первомайское</t>
  </si>
  <si>
    <t>45955000</t>
  </si>
  <si>
    <t>поселение Роговское</t>
  </si>
  <si>
    <t>45956000</t>
  </si>
  <si>
    <t>поселение Рязановское</t>
  </si>
  <si>
    <t>45957000</t>
  </si>
  <si>
    <t>поселение Сосенское</t>
  </si>
  <si>
    <t>45958000</t>
  </si>
  <si>
    <t>поселение Филимонковское</t>
  </si>
  <si>
    <t>45959000</t>
  </si>
  <si>
    <t>поселение Щаповское</t>
  </si>
  <si>
    <t>45961000</t>
  </si>
  <si>
    <t>REGION_ID</t>
  </si>
  <si>
    <t>REGION_NAME</t>
  </si>
  <si>
    <t>RST_ORG_ID</t>
  </si>
  <si>
    <t>ORG_START_DATE</t>
  </si>
  <si>
    <t>ORG_END_DATE</t>
  </si>
  <si>
    <t>SPHERE</t>
  </si>
  <si>
    <t>2657</t>
  </si>
  <si>
    <t>30992431</t>
  </si>
  <si>
    <t>"ПО "Полет"- филиал АО "ГКНПЦ им. М.В. Хруничева"</t>
  </si>
  <si>
    <t>7730239877</t>
  </si>
  <si>
    <t>550643001</t>
  </si>
  <si>
    <t>17-11-2017 00:00:00</t>
  </si>
  <si>
    <t/>
  </si>
  <si>
    <t>WARM</t>
  </si>
  <si>
    <t>30401246</t>
  </si>
  <si>
    <t>АО "ГУ ЖКХ"</t>
  </si>
  <si>
    <t>5116000922</t>
  </si>
  <si>
    <t>540645001</t>
  </si>
  <si>
    <t>26358891</t>
  </si>
  <si>
    <t>АО "Газпромнефть-ОНПЗ"</t>
  </si>
  <si>
    <t>5501041254</t>
  </si>
  <si>
    <t>550101001</t>
  </si>
  <si>
    <t>30905628</t>
  </si>
  <si>
    <t>АО "Жилкомсервис"</t>
  </si>
  <si>
    <t>5512006540</t>
  </si>
  <si>
    <t>551201001</t>
  </si>
  <si>
    <t>14-04-2017 00:00:00</t>
  </si>
  <si>
    <t>26358942</t>
  </si>
  <si>
    <t>АО "Любинский МКК"</t>
  </si>
  <si>
    <t>5519000266</t>
  </si>
  <si>
    <t>551901001</t>
  </si>
  <si>
    <t>31337872</t>
  </si>
  <si>
    <t>АО "ОНИИП"</t>
  </si>
  <si>
    <t>5506218498</t>
  </si>
  <si>
    <t>550601001</t>
  </si>
  <si>
    <t>01-08-2019 00:00:00</t>
  </si>
  <si>
    <t>31338711</t>
  </si>
  <si>
    <t>АО "ОНИИП" Тарский завод "Кварц"</t>
  </si>
  <si>
    <t>553543001</t>
  </si>
  <si>
    <t>28507080</t>
  </si>
  <si>
    <t>АО "Омск РТС"</t>
  </si>
  <si>
    <t>5503249258</t>
  </si>
  <si>
    <t>550301001</t>
  </si>
  <si>
    <t>26358888</t>
  </si>
  <si>
    <t>АО "Омский бекон"</t>
  </si>
  <si>
    <t>5500000061</t>
  </si>
  <si>
    <t>554250001</t>
  </si>
  <si>
    <t>18-01-1993 00:00:00</t>
  </si>
  <si>
    <t>26358890</t>
  </si>
  <si>
    <t>АО "Омский каучук"</t>
  </si>
  <si>
    <t>5501023216</t>
  </si>
  <si>
    <t>26374162</t>
  </si>
  <si>
    <t>АО "Омскоблводопровод"</t>
  </si>
  <si>
    <t>5528022202</t>
  </si>
  <si>
    <t>552801001</t>
  </si>
  <si>
    <t>26320234</t>
  </si>
  <si>
    <t>АО "Омсктрансмаш"</t>
  </si>
  <si>
    <t>5505204171</t>
  </si>
  <si>
    <t>550501001</t>
  </si>
  <si>
    <t>26320205</t>
  </si>
  <si>
    <t>АО "Омскшина"</t>
  </si>
  <si>
    <t>5506007419</t>
  </si>
  <si>
    <t>660850001</t>
  </si>
  <si>
    <t>25-12-1992 00:00:00</t>
  </si>
  <si>
    <t>26320221</t>
  </si>
  <si>
    <t>АО "Сибирские приборы и системы"</t>
  </si>
  <si>
    <t>5506203082</t>
  </si>
  <si>
    <t>28495109</t>
  </si>
  <si>
    <t>АО "ТГК - 11"</t>
  </si>
  <si>
    <t>5406323202</t>
  </si>
  <si>
    <t>785150001</t>
  </si>
  <si>
    <t>26427149</t>
  </si>
  <si>
    <t>АО "Транснефть-Западная Сибирь"</t>
  </si>
  <si>
    <t>5502020634</t>
  </si>
  <si>
    <t>546050001</t>
  </si>
  <si>
    <t>30390766</t>
  </si>
  <si>
    <t>АО "Транснефть-Урал"</t>
  </si>
  <si>
    <t>0278039018</t>
  </si>
  <si>
    <t>027401001</t>
  </si>
  <si>
    <t>28-05-2015 00:00:00</t>
  </si>
  <si>
    <t>26358904</t>
  </si>
  <si>
    <t>АО "ЭТК"</t>
  </si>
  <si>
    <t>5503068565</t>
  </si>
  <si>
    <t>16-09-2002 00:00:00</t>
  </si>
  <si>
    <t>26417588</t>
  </si>
  <si>
    <t>АСУСО "БКСДИ"</t>
  </si>
  <si>
    <t>5528002541</t>
  </si>
  <si>
    <t>26358944</t>
  </si>
  <si>
    <t>АСУСО "Драгунский ДИ"</t>
  </si>
  <si>
    <t>5519002087</t>
  </si>
  <si>
    <t>26358968</t>
  </si>
  <si>
    <t>АСУСО "Пушкинский ДИ"</t>
  </si>
  <si>
    <t>5528004027</t>
  </si>
  <si>
    <t>28873897</t>
  </si>
  <si>
    <t>АСУСО "Тарский ДИ"</t>
  </si>
  <si>
    <t>5535002983</t>
  </si>
  <si>
    <t>553501001</t>
  </si>
  <si>
    <t>27-01-2014 00:00:00</t>
  </si>
  <si>
    <t>28873957</t>
  </si>
  <si>
    <t>АСУСО «Екатерининский ДИ»</t>
  </si>
  <si>
    <t>5535003240</t>
  </si>
  <si>
    <t>29-01-2014 00:00:00</t>
  </si>
  <si>
    <t>26617352</t>
  </si>
  <si>
    <t>АСУСО «Омский ДИ»</t>
  </si>
  <si>
    <t>5505013586</t>
  </si>
  <si>
    <t>01-01-2010 00:00:00</t>
  </si>
  <si>
    <t>30356268</t>
  </si>
  <si>
    <t>Акционерное общество "Русь"</t>
  </si>
  <si>
    <t>5507065741</t>
  </si>
  <si>
    <t>550701001</t>
  </si>
  <si>
    <t>09-07-2003 00:00:00</t>
  </si>
  <si>
    <t>26358970</t>
  </si>
  <si>
    <t>Ассоциация "Санаторий "Колос"</t>
  </si>
  <si>
    <t>5528010711</t>
  </si>
  <si>
    <t>16-05-1998 00:00:00</t>
  </si>
  <si>
    <t>26358969</t>
  </si>
  <si>
    <t>БОУ ОО СПО "ОСХТ"</t>
  </si>
  <si>
    <t>5528007250</t>
  </si>
  <si>
    <t>28868617</t>
  </si>
  <si>
    <t>БПОУ Омской области "Одесский казачий сельскохозяйственный техникум"</t>
  </si>
  <si>
    <t>5526000034</t>
  </si>
  <si>
    <t>552601001</t>
  </si>
  <si>
    <t>31-10-2014 00:00:00</t>
  </si>
  <si>
    <t>26487592</t>
  </si>
  <si>
    <t>БСУСО "Кировский детский дом-интернат"</t>
  </si>
  <si>
    <t>5505011490</t>
  </si>
  <si>
    <t>26577372</t>
  </si>
  <si>
    <t>БУ Знаменского МР Омской области "Центр хозяйственного и материально-технического обеспечения учреждений в сфере образования"</t>
  </si>
  <si>
    <t>5513005652</t>
  </si>
  <si>
    <t>551301001</t>
  </si>
  <si>
    <t>26358892</t>
  </si>
  <si>
    <t>БУЗОО "ЦМР"</t>
  </si>
  <si>
    <t>5501102429</t>
  </si>
  <si>
    <t>27-12-2006 00:00:00</t>
  </si>
  <si>
    <t>27716764</t>
  </si>
  <si>
    <t>Вагонные колесные мастерские Иртышское Новосибирского филиала ОАО «ВРК -1»</t>
  </si>
  <si>
    <t>7708737490</t>
  </si>
  <si>
    <t>552545001</t>
  </si>
  <si>
    <t>28-06-2011 00:00:00</t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</si>
  <si>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</si>
  <si>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</si>
  <si>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</si>
  <si>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</si>
  <si>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23-09-2003 00:00:00</t>
  </si>
  <si>
    <t>31215006</t>
  </si>
  <si>
    <t>ИП Вильгельм Н. Я.</t>
  </si>
  <si>
    <t>552101877580</t>
  </si>
  <si>
    <t>04-04-2018 00:00:00</t>
  </si>
  <si>
    <t>30351042</t>
  </si>
  <si>
    <t>ИП Харькова Л.А.</t>
  </si>
  <si>
    <t>552202709737</t>
  </si>
  <si>
    <t>02-06-2014 00:00:00</t>
  </si>
  <si>
    <t>31020394</t>
  </si>
  <si>
    <t>ЛПДС "Исилькуль" филиала АО "Транснефть-Западная Сибирь"</t>
  </si>
  <si>
    <t>551445001</t>
  </si>
  <si>
    <t>26358956</t>
  </si>
  <si>
    <t>Лесногорское МУП ЖКХ Марьяновского муниципального образования</t>
  </si>
  <si>
    <t>5520006791</t>
  </si>
  <si>
    <t>552001001</t>
  </si>
  <si>
    <t>20-02-2004 00:00:00</t>
  </si>
  <si>
    <t>31159307</t>
  </si>
  <si>
    <t>МБУ "РЦОУ в сфере образования" Седельниковского МР</t>
  </si>
  <si>
    <t>5533006887</t>
  </si>
  <si>
    <t>553301001</t>
  </si>
  <si>
    <t>31436819</t>
  </si>
  <si>
    <t>МП "АТК" Азовского ННМР Омской области</t>
  </si>
  <si>
    <t>5509011967</t>
  </si>
  <si>
    <t>550901001</t>
  </si>
  <si>
    <t>05-08-2020 00:00:00</t>
  </si>
  <si>
    <t>26358988</t>
  </si>
  <si>
    <t>МП "Заливинское КХ"</t>
  </si>
  <si>
    <t>5535006709</t>
  </si>
  <si>
    <t>26358990</t>
  </si>
  <si>
    <t>МП "Искра"</t>
  </si>
  <si>
    <t>5535008093</t>
  </si>
  <si>
    <t>11-01-2007 00:00:00</t>
  </si>
  <si>
    <t>26374195</t>
  </si>
  <si>
    <t>МП "Коммунальник"</t>
  </si>
  <si>
    <t>5537009198</t>
  </si>
  <si>
    <t>553701001</t>
  </si>
  <si>
    <t>09-06-2008 00:00:00</t>
  </si>
  <si>
    <t>26374181</t>
  </si>
  <si>
    <t>МП "Орбита"</t>
  </si>
  <si>
    <t>5535007759</t>
  </si>
  <si>
    <t>09-03-2006 00:00:00</t>
  </si>
  <si>
    <t>31324611</t>
  </si>
  <si>
    <t>МП "РВС"</t>
  </si>
  <si>
    <t>5512007015</t>
  </si>
  <si>
    <t>09-07-2019 00:00:00</t>
  </si>
  <si>
    <t>31450381</t>
  </si>
  <si>
    <t>МП "РКС"</t>
  </si>
  <si>
    <t>5512007093</t>
  </si>
  <si>
    <t>18-08-2020 00:00:00</t>
  </si>
  <si>
    <t>26606077</t>
  </si>
  <si>
    <t>МП "Соцтепло" АННМР Омской области</t>
  </si>
  <si>
    <t>5509007110</t>
  </si>
  <si>
    <t>24-06-2010 00:00:00</t>
  </si>
  <si>
    <t>31454129</t>
  </si>
  <si>
    <t>МП "Тепловодоканал"</t>
  </si>
  <si>
    <t>5512007103</t>
  </si>
  <si>
    <t>16-10-2020 00:00:00</t>
  </si>
  <si>
    <t>26606127</t>
  </si>
  <si>
    <t>МП ПОКХ Азовского ННМР</t>
  </si>
  <si>
    <t>5509007086</t>
  </si>
  <si>
    <t>19-04-2010 00:00:00</t>
  </si>
  <si>
    <t>26487656</t>
  </si>
  <si>
    <t>МП г. Омска "Тепловая компания"</t>
  </si>
  <si>
    <t>5501016762</t>
  </si>
  <si>
    <t>26374175</t>
  </si>
  <si>
    <t>МУП "Аква"</t>
  </si>
  <si>
    <t>5535008174</t>
  </si>
  <si>
    <t>31153503</t>
  </si>
  <si>
    <t>МУП "БКК"</t>
  </si>
  <si>
    <t>5510010012</t>
  </si>
  <si>
    <t>551001001</t>
  </si>
  <si>
    <t>15-06-2018 00:00:00</t>
  </si>
  <si>
    <t>31423717</t>
  </si>
  <si>
    <t>МУП "Баженовское ЖКХ"</t>
  </si>
  <si>
    <t>5532008384</t>
  </si>
  <si>
    <t>553201001</t>
  </si>
  <si>
    <t>28-04-2020 00:00:00</t>
  </si>
  <si>
    <t>26374129</t>
  </si>
  <si>
    <t>МУП "Бергамакское"</t>
  </si>
  <si>
    <t>5522006765</t>
  </si>
  <si>
    <t>552201001</t>
  </si>
  <si>
    <t>30359287</t>
  </si>
  <si>
    <t>МУП "Водоканал ОМР"</t>
  </si>
  <si>
    <t>5528031060</t>
  </si>
  <si>
    <t>18-05-2015 00:00:00</t>
  </si>
  <si>
    <t>26374187</t>
  </si>
  <si>
    <t>МУП "Восход"</t>
  </si>
  <si>
    <t>5535008255</t>
  </si>
  <si>
    <t>31520420</t>
  </si>
  <si>
    <t>МУП "Знаменское ЖКХ"</t>
  </si>
  <si>
    <t>5513006215</t>
  </si>
  <si>
    <t>01-07-2021 00:00:00</t>
  </si>
  <si>
    <t>26439408</t>
  </si>
  <si>
    <t>МУП "Исток"</t>
  </si>
  <si>
    <t>5535008921</t>
  </si>
  <si>
    <t>30854502</t>
  </si>
  <si>
    <t>МУП "Колосовская РСО"</t>
  </si>
  <si>
    <t>5516003653</t>
  </si>
  <si>
    <t>551601001</t>
  </si>
  <si>
    <t>27-10-2016 00:00:00</t>
  </si>
  <si>
    <t>31431594</t>
  </si>
  <si>
    <t>МУП "Колосовское"</t>
  </si>
  <si>
    <t>5516900100</t>
  </si>
  <si>
    <t>26422202</t>
  </si>
  <si>
    <t>МУП "Коммунальник"</t>
  </si>
  <si>
    <t>5516003163</t>
  </si>
  <si>
    <t>31326116</t>
  </si>
  <si>
    <t>5517011921</t>
  </si>
  <si>
    <t>551701001</t>
  </si>
  <si>
    <t>11-02-2019 00:00:00</t>
  </si>
  <si>
    <t>26374152</t>
  </si>
  <si>
    <t>5527007508</t>
  </si>
  <si>
    <t>552701001</t>
  </si>
  <si>
    <t>01-09-2006 00:00:00</t>
  </si>
  <si>
    <t>26417551</t>
  </si>
  <si>
    <t>МУП "Крутинское"</t>
  </si>
  <si>
    <t>5518007460</t>
  </si>
  <si>
    <t>551801001</t>
  </si>
  <si>
    <t>19-06-2008 00:00:00</t>
  </si>
  <si>
    <t>31330066</t>
  </si>
  <si>
    <t>МУП "МГКХ"</t>
  </si>
  <si>
    <t>5514015572</t>
  </si>
  <si>
    <t>20-09-2018 00:00:00</t>
  </si>
  <si>
    <t>31437668</t>
  </si>
  <si>
    <t>МУП "Москаленский коммунальник"</t>
  </si>
  <si>
    <t>5521014763</t>
  </si>
  <si>
    <t>552101001</t>
  </si>
  <si>
    <t>28-06-2019 00:00:00</t>
  </si>
  <si>
    <t>31435945</t>
  </si>
  <si>
    <t>МУП "Нижнеиртышское ЖКХ"</t>
  </si>
  <si>
    <t>5532008377</t>
  </si>
  <si>
    <t>27830267</t>
  </si>
  <si>
    <t>МУП "Нижнеомский коммунальник"</t>
  </si>
  <si>
    <t>5524200172</t>
  </si>
  <si>
    <t>552401001</t>
  </si>
  <si>
    <t>24-04-2012 00:00:00</t>
  </si>
  <si>
    <t>30374725</t>
  </si>
  <si>
    <t>МУП "Нововаршавская тепловая компания"</t>
  </si>
  <si>
    <t>5525011227</t>
  </si>
  <si>
    <t>552501001</t>
  </si>
  <si>
    <t>04-12-2015 00:00:00</t>
  </si>
  <si>
    <t>31617288</t>
  </si>
  <si>
    <t>МУП "ПТК"</t>
  </si>
  <si>
    <t>5530008090</t>
  </si>
  <si>
    <t>553001001</t>
  </si>
  <si>
    <t>11-08-2022 00:00:00</t>
  </si>
  <si>
    <t>30836061</t>
  </si>
  <si>
    <t>МУП "Павлоградское"</t>
  </si>
  <si>
    <t>5529008521</t>
  </si>
  <si>
    <t>552901001</t>
  </si>
  <si>
    <t>29-06-2016 00:00:00</t>
  </si>
  <si>
    <t>30835834</t>
  </si>
  <si>
    <t>МУП "РСТ" ОМР</t>
  </si>
  <si>
    <t>5528033035</t>
  </si>
  <si>
    <t>24-06-2016 00:00:00</t>
  </si>
  <si>
    <t>31073200</t>
  </si>
  <si>
    <t>МУП "Седельниковский тепловик"</t>
  </si>
  <si>
    <t>5533003149</t>
  </si>
  <si>
    <t>23-03-2018 00:00:00</t>
  </si>
  <si>
    <t>30985755</t>
  </si>
  <si>
    <t>МУП "Сибирь"</t>
  </si>
  <si>
    <t>5536005666</t>
  </si>
  <si>
    <t>553601001</t>
  </si>
  <si>
    <t>25-10-2017 00:00:00</t>
  </si>
  <si>
    <t>30961043</t>
  </si>
  <si>
    <t>МУП "ТЭС"</t>
  </si>
  <si>
    <t>5517011752</t>
  </si>
  <si>
    <t>06-09-2017 00:00:00</t>
  </si>
  <si>
    <t>30355895</t>
  </si>
  <si>
    <t>МУП "Тарское ПОКХ"</t>
  </si>
  <si>
    <t>5535008110</t>
  </si>
  <si>
    <t>10-09-2015 00:00:00</t>
  </si>
  <si>
    <t>31310649</t>
  </si>
  <si>
    <t>МУП "Тепло-Ресурс"</t>
  </si>
  <si>
    <t>5532008271</t>
  </si>
  <si>
    <t>08-05-2019 00:00:00</t>
  </si>
  <si>
    <t>29648000</t>
  </si>
  <si>
    <t>МУП "Тепловая компания"</t>
  </si>
  <si>
    <t>5514009716</t>
  </si>
  <si>
    <t>551401001</t>
  </si>
  <si>
    <t>20-07-2015 00:00:00</t>
  </si>
  <si>
    <t>30808298</t>
  </si>
  <si>
    <t>МУП "Тепловик"</t>
  </si>
  <si>
    <t>5509009990</t>
  </si>
  <si>
    <t>20-05-2016 00:00:00</t>
  </si>
  <si>
    <t>31212729</t>
  </si>
  <si>
    <t>5531010503</t>
  </si>
  <si>
    <t>553101001</t>
  </si>
  <si>
    <t>29-10-2018 00:00:00</t>
  </si>
  <si>
    <t>29648201</t>
  </si>
  <si>
    <t>МУП "Тепловодоснабжение"</t>
  </si>
  <si>
    <t>5539015020</t>
  </si>
  <si>
    <t>553901001</t>
  </si>
  <si>
    <t>17-08-2015 00:00:00</t>
  </si>
  <si>
    <t>26358959</t>
  </si>
  <si>
    <t>МУП "Теплосеть-1"</t>
  </si>
  <si>
    <t>5522006081</t>
  </si>
  <si>
    <t>15-09-2008 00:00:00</t>
  </si>
  <si>
    <t>31635397</t>
  </si>
  <si>
    <t>МУП "Теплоснабжение"</t>
  </si>
  <si>
    <t>5539015662</t>
  </si>
  <si>
    <t>20-10-2022 00:00:00</t>
  </si>
  <si>
    <t>30355309</t>
  </si>
  <si>
    <t>МУП "Усть-Ишимский Тепловик"</t>
  </si>
  <si>
    <t>5538005020</t>
  </si>
  <si>
    <t>553801001</t>
  </si>
  <si>
    <t>17-07-2015 00:00:00</t>
  </si>
  <si>
    <t>31208129</t>
  </si>
  <si>
    <t>МУП "Хохловское ЖКХ"</t>
  </si>
  <si>
    <t>5532008190</t>
  </si>
  <si>
    <t>31-07-2018 00:00:00</t>
  </si>
  <si>
    <t>26486121</t>
  </si>
  <si>
    <t>МУП "Хуторок"</t>
  </si>
  <si>
    <t>5535008270</t>
  </si>
  <si>
    <t>28424636</t>
  </si>
  <si>
    <t>МУП "Чапаевское"</t>
  </si>
  <si>
    <t>5516003639</t>
  </si>
  <si>
    <t>17-05-2013 00:00:00</t>
  </si>
  <si>
    <t>30343820</t>
  </si>
  <si>
    <t>МУП «Жилищное коммунальное хозяйство Марьяновское»</t>
  </si>
  <si>
    <t>5520010727</t>
  </si>
  <si>
    <t>19-06-2015 00:00:00</t>
  </si>
  <si>
    <t>28981642</t>
  </si>
  <si>
    <t>МУП АИМР ОО "Коммунальное хозяйство "Социальное"</t>
  </si>
  <si>
    <t>5514900217</t>
  </si>
  <si>
    <t>11-07-2014 00:00:00</t>
  </si>
  <si>
    <t>26358999</t>
  </si>
  <si>
    <t>МУП ЖКХ "Бекишевское"</t>
  </si>
  <si>
    <t>5537008959</t>
  </si>
  <si>
    <t>27571634</t>
  </si>
  <si>
    <t>МУП КХ "Социальное"</t>
  </si>
  <si>
    <t>5515200560</t>
  </si>
  <si>
    <t>551501001</t>
  </si>
  <si>
    <t>12-10-2011 00:00:00</t>
  </si>
  <si>
    <t>28450280</t>
  </si>
  <si>
    <t>МУП Нововаршавского муниципального района "Коммунальник"</t>
  </si>
  <si>
    <t>5525200256</t>
  </si>
  <si>
    <t>30-12-2013 00:00:00</t>
  </si>
  <si>
    <t>26374168</t>
  </si>
  <si>
    <t>МУП Саргатского района "Новотроицкое ЖКХ"</t>
  </si>
  <si>
    <t>5532006612</t>
  </si>
  <si>
    <t>26485582</t>
  </si>
  <si>
    <t>ОАО "Коммунальник"</t>
  </si>
  <si>
    <t>5528203801</t>
  </si>
  <si>
    <t>26487700</t>
  </si>
  <si>
    <t>ОАО "Оммет"</t>
  </si>
  <si>
    <t>5503035087</t>
  </si>
  <si>
    <t>26358901</t>
  </si>
  <si>
    <t>ОАО "Омскавтотранс"</t>
  </si>
  <si>
    <t>5503038440</t>
  </si>
  <si>
    <t>26358918</t>
  </si>
  <si>
    <t>ОАО "Омский аэропорт"</t>
  </si>
  <si>
    <t>5507028605</t>
  </si>
  <si>
    <t>31442422</t>
  </si>
  <si>
    <t>ООО "АРТ-инжиниринг ИНВЕСТ"</t>
  </si>
  <si>
    <t>5522007617</t>
  </si>
  <si>
    <t>19-06-2017 00:00:00</t>
  </si>
  <si>
    <t>26417934</t>
  </si>
  <si>
    <t>ООО "Алаботинское ЖКХ"</t>
  </si>
  <si>
    <t>5531007860</t>
  </si>
  <si>
    <t>29-01-2008 00:00:00</t>
  </si>
  <si>
    <t>28941720</t>
  </si>
  <si>
    <t>ООО "Алерон"</t>
  </si>
  <si>
    <t>5501257550</t>
  </si>
  <si>
    <t>05-05-2014 00:00:00</t>
  </si>
  <si>
    <t>30854271</t>
  </si>
  <si>
    <t>5507164809</t>
  </si>
  <si>
    <t>15-06-2016 00:00:00</t>
  </si>
  <si>
    <t>30359281</t>
  </si>
  <si>
    <t>ООО "Атлант"</t>
  </si>
  <si>
    <t>5512006477</t>
  </si>
  <si>
    <t>08-04-2015 00:00:00</t>
  </si>
  <si>
    <t>26358951</t>
  </si>
  <si>
    <t>ООО "Боголюбовское ЖКХ"</t>
  </si>
  <si>
    <t>5519503943</t>
  </si>
  <si>
    <t>26418071</t>
  </si>
  <si>
    <t>ООО "Большегривская тепловая компания"</t>
  </si>
  <si>
    <t>5525010939</t>
  </si>
  <si>
    <t>16-07-2009 00:00:00</t>
  </si>
  <si>
    <t>26417819</t>
  </si>
  <si>
    <t>ООО "Большереченское хлебоприемное предприятие"</t>
  </si>
  <si>
    <t>5510007732</t>
  </si>
  <si>
    <t>31457048</t>
  </si>
  <si>
    <t>ООО "ВЛАДСТРОЙ"</t>
  </si>
  <si>
    <t>5501187750</t>
  </si>
  <si>
    <t>15-12-2020 00:00:00</t>
  </si>
  <si>
    <t>31041369</t>
  </si>
  <si>
    <t>ООО "Врубелево-Тепло"</t>
  </si>
  <si>
    <t>5503158794</t>
  </si>
  <si>
    <t>19-12-2017 00:00:00</t>
  </si>
  <si>
    <t>26787495</t>
  </si>
  <si>
    <t>ООО "Горьковский Коммунальник"</t>
  </si>
  <si>
    <t>5512006050</t>
  </si>
  <si>
    <t>26485473</t>
  </si>
  <si>
    <t>ООО "Дом отдыха "Русский Лес"</t>
  </si>
  <si>
    <t>5528200984</t>
  </si>
  <si>
    <t>26359008</t>
  </si>
  <si>
    <t>ООО "Екатеринославское ЖКХ"</t>
  </si>
  <si>
    <t>5540007779</t>
  </si>
  <si>
    <t>554001001</t>
  </si>
  <si>
    <t>26418096</t>
  </si>
  <si>
    <t>ООО "Ермаковская тепловая компания"</t>
  </si>
  <si>
    <t>5525010953</t>
  </si>
  <si>
    <t>17-07-2009 00:00:00</t>
  </si>
  <si>
    <t>26358975</t>
  </si>
  <si>
    <t>ООО "ЖКХ Иртышское"</t>
  </si>
  <si>
    <t>5528027401</t>
  </si>
  <si>
    <t>25-08-2006 00:00:00</t>
  </si>
  <si>
    <t>26358953</t>
  </si>
  <si>
    <t>ООО "ЖКХ Родник"</t>
  </si>
  <si>
    <t>5519504256</t>
  </si>
  <si>
    <t>31420227</t>
  </si>
  <si>
    <t>ООО "ЗМК Мост"</t>
  </si>
  <si>
    <t>7714968470</t>
  </si>
  <si>
    <t>28448060</t>
  </si>
  <si>
    <t>ООО "Исток"</t>
  </si>
  <si>
    <t>5535009964</t>
  </si>
  <si>
    <t>19-09-2013 00:00:00</t>
  </si>
  <si>
    <t>26607742</t>
  </si>
  <si>
    <t>ООО "КСМ "Сибирский железобетон-Тех"</t>
  </si>
  <si>
    <t>5501215775</t>
  </si>
  <si>
    <t>19-01-2009 00:00:00</t>
  </si>
  <si>
    <t>26358949</t>
  </si>
  <si>
    <t>ООО "Камышловское ЖКХ"</t>
  </si>
  <si>
    <t>5519008650</t>
  </si>
  <si>
    <t>31159213</t>
  </si>
  <si>
    <t>ООО "Комплекстеплосервис"</t>
  </si>
  <si>
    <t>5504150798</t>
  </si>
  <si>
    <t>550401001</t>
  </si>
  <si>
    <t>11-10-2017 00:00:00</t>
  </si>
  <si>
    <t>28953315</t>
  </si>
  <si>
    <t>ООО "Котельная "Первый кирпичный"</t>
  </si>
  <si>
    <t>5503253303</t>
  </si>
  <si>
    <t>23-10-2014 00:00:00</t>
  </si>
  <si>
    <t>28423863</t>
  </si>
  <si>
    <t>ООО "Лузинская Тепловая Компания"</t>
  </si>
  <si>
    <t>5528210887</t>
  </si>
  <si>
    <t>13-05-2013 00:00:00</t>
  </si>
  <si>
    <t>26358952</t>
  </si>
  <si>
    <t>ООО "Любино-Малоросское ЖКХ"</t>
  </si>
  <si>
    <t>5519503950</t>
  </si>
  <si>
    <t>26602095</t>
  </si>
  <si>
    <t>ООО "Любинское ЖКХ"</t>
  </si>
  <si>
    <t>5519504993</t>
  </si>
  <si>
    <t>28506219</t>
  </si>
  <si>
    <t>ООО "Малая генерация"</t>
  </si>
  <si>
    <t>5407469733</t>
  </si>
  <si>
    <t>19-10-2011 00:00:00</t>
  </si>
  <si>
    <t>26358960</t>
  </si>
  <si>
    <t>ООО "Мангут"</t>
  </si>
  <si>
    <t>5523005066</t>
  </si>
  <si>
    <t>552301001</t>
  </si>
  <si>
    <t>26-10-2006 00:00:00</t>
  </si>
  <si>
    <t>27588512</t>
  </si>
  <si>
    <t>ООО "Мечта"</t>
  </si>
  <si>
    <t>5501229062</t>
  </si>
  <si>
    <t>22-10-2010 00:00:00</t>
  </si>
  <si>
    <t>26358919</t>
  </si>
  <si>
    <t>ООО "Микрорайон"</t>
  </si>
  <si>
    <t>5507033972</t>
  </si>
  <si>
    <t>28953304</t>
  </si>
  <si>
    <t>ООО "Монтажник 1"</t>
  </si>
  <si>
    <t>5532007447</t>
  </si>
  <si>
    <t>01-03-2010 00:00:00</t>
  </si>
  <si>
    <t>30365255</t>
  </si>
  <si>
    <t>ООО "Муромцевский лен"</t>
  </si>
  <si>
    <t>5522900147</t>
  </si>
  <si>
    <t>21-10-2015 00:00:00</t>
  </si>
  <si>
    <t>28934864</t>
  </si>
  <si>
    <t>ООО "Облэнергосеть"</t>
  </si>
  <si>
    <t>5539200464</t>
  </si>
  <si>
    <t>22-05-2014 00:00:00</t>
  </si>
  <si>
    <t>26358913</t>
  </si>
  <si>
    <t>ООО "Омсктехуглерод"</t>
  </si>
  <si>
    <t>5506066492</t>
  </si>
  <si>
    <t>771401001</t>
  </si>
  <si>
    <t>26358948</t>
  </si>
  <si>
    <t>ООО "ПКФ Исток"</t>
  </si>
  <si>
    <t>5519008610</t>
  </si>
  <si>
    <t>26486169</t>
  </si>
  <si>
    <t>ООО "Прииртышье"</t>
  </si>
  <si>
    <t>5524003833</t>
  </si>
  <si>
    <t>29-01-2010 00:00:00</t>
  </si>
  <si>
    <t>28267136</t>
  </si>
  <si>
    <t>ООО "Промэнергосервис"</t>
  </si>
  <si>
    <t>5501247569</t>
  </si>
  <si>
    <t>30953121</t>
  </si>
  <si>
    <t>ООО "РТС"</t>
  </si>
  <si>
    <t>5503171467</t>
  </si>
  <si>
    <t>20-09-2017 00:00:00</t>
  </si>
  <si>
    <t>31211880</t>
  </si>
  <si>
    <t>5539015454</t>
  </si>
  <si>
    <t>27998202</t>
  </si>
  <si>
    <t>ООО "Расчетный центр"</t>
  </si>
  <si>
    <t>5534021221</t>
  </si>
  <si>
    <t>553401001</t>
  </si>
  <si>
    <t>21-10-2010 00:00:00</t>
  </si>
  <si>
    <t>29648197</t>
  </si>
  <si>
    <t>ООО "Регион-Энергокомплекс"</t>
  </si>
  <si>
    <t>5539014997</t>
  </si>
  <si>
    <t>06-08-2015 00:00:00</t>
  </si>
  <si>
    <t>26602071</t>
  </si>
  <si>
    <t>ООО "СОДРУЖЕСТВО"</t>
  </si>
  <si>
    <t>5519504834</t>
  </si>
  <si>
    <t>02-08-2010 00:00:00</t>
  </si>
  <si>
    <t>30845624</t>
  </si>
  <si>
    <t>ООО "Сибирь-Энергоресурс"</t>
  </si>
  <si>
    <t>5503168062</t>
  </si>
  <si>
    <t>09-09-2016 00:00:00</t>
  </si>
  <si>
    <t>30985765</t>
  </si>
  <si>
    <t>ООО "Сибком"</t>
  </si>
  <si>
    <t>5401965407</t>
  </si>
  <si>
    <t>540101001</t>
  </si>
  <si>
    <t>27-10-2017 00:00:00</t>
  </si>
  <si>
    <t>28941727</t>
  </si>
  <si>
    <t>ООО "Скайнет"</t>
  </si>
  <si>
    <t>5501229986</t>
  </si>
  <si>
    <t>01-12-2010 00:00:00</t>
  </si>
  <si>
    <t>28868608</t>
  </si>
  <si>
    <t>ООО "Современные технологии"</t>
  </si>
  <si>
    <t>5501236140</t>
  </si>
  <si>
    <t>30991667</t>
  </si>
  <si>
    <t>ООО "ТД "ЛЮБИНСКИЙ"</t>
  </si>
  <si>
    <t>5507140597</t>
  </si>
  <si>
    <t>28981624</t>
  </si>
  <si>
    <t>ООО "ТеплоСиб"</t>
  </si>
  <si>
    <t>5506077825</t>
  </si>
  <si>
    <t>12-03-2015 00:00:00</t>
  </si>
  <si>
    <t>28981104</t>
  </si>
  <si>
    <t>ООО "Тепловая компания Калачинская"</t>
  </si>
  <si>
    <t>5515013024</t>
  </si>
  <si>
    <t>25-05-2015 00:00:00</t>
  </si>
  <si>
    <t>26606229</t>
  </si>
  <si>
    <t>ООО "Тепловая компания"</t>
  </si>
  <si>
    <t>5515200151</t>
  </si>
  <si>
    <t>30856564</t>
  </si>
  <si>
    <t>ООО "Тепловик"</t>
  </si>
  <si>
    <t>5503170262</t>
  </si>
  <si>
    <t>05-12-2016 00:00:00</t>
  </si>
  <si>
    <t>30351007</t>
  </si>
  <si>
    <t>5512006558</t>
  </si>
  <si>
    <t>26602082</t>
  </si>
  <si>
    <t>5519200025</t>
  </si>
  <si>
    <t>26789924</t>
  </si>
  <si>
    <t>5523005468</t>
  </si>
  <si>
    <t>24-12-2010 00:00:00</t>
  </si>
  <si>
    <t>26418462</t>
  </si>
  <si>
    <t>5530005290</t>
  </si>
  <si>
    <t>15-11-2008 00:00:00</t>
  </si>
  <si>
    <t>26359007</t>
  </si>
  <si>
    <t>5540007320</t>
  </si>
  <si>
    <t>30952588</t>
  </si>
  <si>
    <t>ООО "Тепловик-1"</t>
  </si>
  <si>
    <t>5534013319</t>
  </si>
  <si>
    <t>18-09-2017 00:00:00</t>
  </si>
  <si>
    <t>26358957</t>
  </si>
  <si>
    <t>ООО "Тепловые сети и котельные"</t>
  </si>
  <si>
    <t>5520007636</t>
  </si>
  <si>
    <t>31448737</t>
  </si>
  <si>
    <t>ООО "Тепловые системы"</t>
  </si>
  <si>
    <t>5517012033</t>
  </si>
  <si>
    <t>30-07-2020 00:00:00</t>
  </si>
  <si>
    <t>26487702</t>
  </si>
  <si>
    <t>ООО "Теплогенерирующий комплекс"</t>
  </si>
  <si>
    <t>5503109356</t>
  </si>
  <si>
    <t>31495537</t>
  </si>
  <si>
    <t>ООО "Теплодом"</t>
  </si>
  <si>
    <t>5507276100</t>
  </si>
  <si>
    <t>07-05-2021 00:00:00</t>
  </si>
  <si>
    <t>31203312</t>
  </si>
  <si>
    <t>ООО "Теплоком"</t>
  </si>
  <si>
    <t>5512006999</t>
  </si>
  <si>
    <t>06-07-2018 00:00:00</t>
  </si>
  <si>
    <t>30358244</t>
  </si>
  <si>
    <t>ООО "Теплокоммунсервис"</t>
  </si>
  <si>
    <t>5539014972</t>
  </si>
  <si>
    <t>05-11-2015 00:00:00</t>
  </si>
  <si>
    <t>30993167</t>
  </si>
  <si>
    <t>ООО "Теплосервис"</t>
  </si>
  <si>
    <t>5511003748</t>
  </si>
  <si>
    <t>551101001</t>
  </si>
  <si>
    <t>24-11-2017 00:00:00</t>
  </si>
  <si>
    <t>29648036</t>
  </si>
  <si>
    <t>ООО "Теплосетевая компания"</t>
  </si>
  <si>
    <t>5504244372</t>
  </si>
  <si>
    <t>05-02-2014 00:00:00</t>
  </si>
  <si>
    <t>30856570</t>
  </si>
  <si>
    <t>ООО "Теплоцентр"</t>
  </si>
  <si>
    <t>5536006162</t>
  </si>
  <si>
    <t>14-10-2015 00:00:00</t>
  </si>
  <si>
    <t>31255164</t>
  </si>
  <si>
    <t>ООО "ТехноСнаб"</t>
  </si>
  <si>
    <t>5535900225</t>
  </si>
  <si>
    <t>04-12-2014 00:00:00</t>
  </si>
  <si>
    <t>31460305</t>
  </si>
  <si>
    <t>ООО "Техносервис"</t>
  </si>
  <si>
    <t>5535017154</t>
  </si>
  <si>
    <t>30845516</t>
  </si>
  <si>
    <t>ООО "Торговый дом"</t>
  </si>
  <si>
    <t>5517201249</t>
  </si>
  <si>
    <t>17-02-2014 00:00:00</t>
  </si>
  <si>
    <t>26811005</t>
  </si>
  <si>
    <t>ООО "Тюкалинские тепловые сети и котельные"</t>
  </si>
  <si>
    <t>5537009494</t>
  </si>
  <si>
    <t>11-02-2011 00:00:00</t>
  </si>
  <si>
    <t>26358973</t>
  </si>
  <si>
    <t>ООО "УК "Лузинское ЖКХ"</t>
  </si>
  <si>
    <t>5528023950</t>
  </si>
  <si>
    <t>14-06-2005 00:00:00</t>
  </si>
  <si>
    <t>26602106</t>
  </si>
  <si>
    <t>ООО "ЦЕНТРАЛЬ"</t>
  </si>
  <si>
    <t>5519200032</t>
  </si>
  <si>
    <t>26438662</t>
  </si>
  <si>
    <t>ООО "Шербакульское райпо"</t>
  </si>
  <si>
    <t>5540008010</t>
  </si>
  <si>
    <t>31341039</t>
  </si>
  <si>
    <t>ООО "Энергопоставка"</t>
  </si>
  <si>
    <t>5506176897</t>
  </si>
  <si>
    <t>01-09-2019 00:00:00</t>
  </si>
  <si>
    <t>30854298</t>
  </si>
  <si>
    <t>ООО "Юнион"</t>
  </si>
  <si>
    <t>5507165087</t>
  </si>
  <si>
    <t>31434719</t>
  </si>
  <si>
    <t>ООО «Лайт-Аква»</t>
  </si>
  <si>
    <t>5501209757</t>
  </si>
  <si>
    <t>31475585</t>
  </si>
  <si>
    <t>ООО СМУ-9 СБ "Космическое"</t>
  </si>
  <si>
    <t>5517010886</t>
  </si>
  <si>
    <t>540201001</t>
  </si>
  <si>
    <t>28942807</t>
  </si>
  <si>
    <t>ООО Строительно-монтажный трест "Стройбетон"</t>
  </si>
  <si>
    <t>5517200848</t>
  </si>
  <si>
    <t>26-09-2012 00:00:00</t>
  </si>
  <si>
    <t>26417987</t>
  </si>
  <si>
    <t>ООО УК "Байкал"</t>
  </si>
  <si>
    <t>5511003339</t>
  </si>
  <si>
    <t>31186716</t>
  </si>
  <si>
    <t>ООО УК "Теплосервис"</t>
  </si>
  <si>
    <t>5521900105</t>
  </si>
  <si>
    <t>24-02-2014 00:00:00</t>
  </si>
  <si>
    <t>28461650</t>
  </si>
  <si>
    <t>ООО Холдинговая компания  "СТМ-Омск"</t>
  </si>
  <si>
    <t>5503242260</t>
  </si>
  <si>
    <t>16-04-2013 00:00:00</t>
  </si>
  <si>
    <t>28951371</t>
  </si>
  <si>
    <t>ООО" ПТЭ"</t>
  </si>
  <si>
    <t>5506233930</t>
  </si>
  <si>
    <t>12-12-2014 00:00:00</t>
  </si>
  <si>
    <t>28980656</t>
  </si>
  <si>
    <t>Общество с ограниченной ответственностью "Тепловая компания"</t>
  </si>
  <si>
    <t>5503084165</t>
  </si>
  <si>
    <t>26-10-2004 00:00:00</t>
  </si>
  <si>
    <t>31044147</t>
  </si>
  <si>
    <t>Омский РВПиС</t>
  </si>
  <si>
    <t>5504002648</t>
  </si>
  <si>
    <t>550743001</t>
  </si>
  <si>
    <t>21-11-2017 00:00:00</t>
  </si>
  <si>
    <t>26320206</t>
  </si>
  <si>
    <t>ПАО "Сатурн"</t>
  </si>
  <si>
    <t>5508000955</t>
  </si>
  <si>
    <t>28942793</t>
  </si>
  <si>
    <t>ПУ ФСБ России по Омской области</t>
  </si>
  <si>
    <t>5504102498</t>
  </si>
  <si>
    <t>13-03-2015 00:00:00</t>
  </si>
  <si>
    <t>26602352</t>
  </si>
  <si>
    <t>Путевая машинная станция №22 - структурное подразделение Западно-Сибирской дирекции по ремонту пути - структурного подразделения Центральной дирекции по ремонту пути - филиала ОАО "РЖД"</t>
  </si>
  <si>
    <t>550531032</t>
  </si>
  <si>
    <t>27553153</t>
  </si>
  <si>
    <t>САУ "Подгородный лесхоз"</t>
  </si>
  <si>
    <t>5528210647</t>
  </si>
  <si>
    <t>26358907</t>
  </si>
  <si>
    <t>ФБУ "Администрация "Обь-Иртышводпуть"</t>
  </si>
  <si>
    <t>28966745</t>
  </si>
  <si>
    <t>ФКУ ИК-12 УФСИН России по Омской области</t>
  </si>
  <si>
    <t>5528010172</t>
  </si>
  <si>
    <t>28981772</t>
  </si>
  <si>
    <t>ФКУ ИК-3 УФСИН РОССИИ ПО ОМСКОЙ ОБЛАСТИ</t>
  </si>
  <si>
    <t>5501048475</t>
  </si>
  <si>
    <t>19-12-1997 00:00:00</t>
  </si>
  <si>
    <t>26420278</t>
  </si>
  <si>
    <t>Филиал ПАО "Россети Сибирь" - "Омскэнерго"</t>
  </si>
  <si>
    <t>2460069527</t>
  </si>
  <si>
    <t>550343001</t>
  </si>
  <si>
    <t>01-04-2008 00:00:00</t>
  </si>
  <si>
    <t>30914574</t>
  </si>
  <si>
    <t>Филиал ФГБУ "ЦЖКУ" МИНОБОРОНЫ РОССИИ (по ЦВО)</t>
  </si>
  <si>
    <t>7729314745</t>
  </si>
  <si>
    <t>667043001</t>
  </si>
  <si>
    <t>27366801</t>
  </si>
  <si>
    <t>филиал ОАО "РЭУ"  "Новосибирский"</t>
  </si>
  <si>
    <t>7714783092</t>
  </si>
  <si>
    <t>540543001</t>
  </si>
  <si>
    <t>18-06-2009 00:00:00</t>
  </si>
  <si>
    <t>31511407</t>
  </si>
  <si>
    <t>АДМИНИСТРАЦИЯ АТИРСКОГО СЕЛЬСКОГО ПОСЕЛЕНИЯ ТАРСКОГО МУНИЦИПАЛЬНОГО РАЙОНА ОМСКОЙ ОБЛАСТИ</t>
  </si>
  <si>
    <t>5535017355</t>
  </si>
  <si>
    <t>03-02-2021 00:00:00</t>
  </si>
  <si>
    <t>26358903</t>
  </si>
  <si>
    <t>АО "АК Омскагрегат"</t>
  </si>
  <si>
    <t>5503067547</t>
  </si>
  <si>
    <t>29650614</t>
  </si>
  <si>
    <t>АО "Большеатмасское"</t>
  </si>
  <si>
    <t>5539000056</t>
  </si>
  <si>
    <t>30-12-1992 00:00:00</t>
  </si>
  <si>
    <t>31165982</t>
  </si>
  <si>
    <t>АО "НТК "Криогенная техника"</t>
  </si>
  <si>
    <t>7805730570</t>
  </si>
  <si>
    <t>780501001</t>
  </si>
  <si>
    <t>25-07-2018 00:00:00</t>
  </si>
  <si>
    <t>30793527</t>
  </si>
  <si>
    <t>АО "ОАЗ"</t>
  </si>
  <si>
    <t>5503161109</t>
  </si>
  <si>
    <t>29-03-2016 00:00:00</t>
  </si>
  <si>
    <t>26380824</t>
  </si>
  <si>
    <t>АО "ОмскВодоканал"</t>
  </si>
  <si>
    <t>5504097128</t>
  </si>
  <si>
    <t>26358940</t>
  </si>
  <si>
    <t>АО им. Кирова</t>
  </si>
  <si>
    <t>5518000104</t>
  </si>
  <si>
    <t>27630518</t>
  </si>
  <si>
    <t>ЗАО "Ермоловское"</t>
  </si>
  <si>
    <t>5515000240</t>
  </si>
  <si>
    <t>26851186</t>
  </si>
  <si>
    <t>ЗАО "Иртышское"</t>
  </si>
  <si>
    <t>5528003270</t>
  </si>
  <si>
    <t>08-07-2013 00:00:00</t>
  </si>
  <si>
    <t>30797827</t>
  </si>
  <si>
    <t>Звездинское МКУ "Административно-хозяйственное управление"</t>
  </si>
  <si>
    <t>5521900112</t>
  </si>
  <si>
    <t>31247118</t>
  </si>
  <si>
    <t>ИП Куприянов Александр Анатольевич</t>
  </si>
  <si>
    <t>551700630485</t>
  </si>
  <si>
    <t>10-01-2019 00:00:00</t>
  </si>
  <si>
    <t>31563319</t>
  </si>
  <si>
    <t>ИП Харитонов В.Е.</t>
  </si>
  <si>
    <t>552804549431</t>
  </si>
  <si>
    <t>26504124</t>
  </si>
  <si>
    <t>Ишимское РНУ АО "Транснефть- Западная Сибирь"</t>
  </si>
  <si>
    <t>720543001</t>
  </si>
  <si>
    <t>28078899</t>
  </si>
  <si>
    <t>КФХ Боченкова С.В.</t>
  </si>
  <si>
    <t>551000034085</t>
  </si>
  <si>
    <t>30917413</t>
  </si>
  <si>
    <t>КФХ Воробьев А.В.</t>
  </si>
  <si>
    <t>553510387275</t>
  </si>
  <si>
    <t>07-08-2013 00:00:00</t>
  </si>
  <si>
    <t>26374190</t>
  </si>
  <si>
    <t>КФХ Корнев</t>
  </si>
  <si>
    <t>553502387169</t>
  </si>
  <si>
    <t>30372149</t>
  </si>
  <si>
    <t>КФХ Креван О.А.</t>
  </si>
  <si>
    <t>553500410292</t>
  </si>
  <si>
    <t>22-12-2008 00:00:00</t>
  </si>
  <si>
    <t>26851118</t>
  </si>
  <si>
    <t>КФХ Плоцкого С. А.</t>
  </si>
  <si>
    <t>551600369206</t>
  </si>
  <si>
    <t>31357042</t>
  </si>
  <si>
    <t>КФХ Хоккерайн М.М.</t>
  </si>
  <si>
    <t>551300507656</t>
  </si>
  <si>
    <t>20-08-2015 00:00:00</t>
  </si>
  <si>
    <t>26612268</t>
  </si>
  <si>
    <t>КФХ Юрлагина Георгия Александровича</t>
  </si>
  <si>
    <t>553510085531</t>
  </si>
  <si>
    <t>30852890</t>
  </si>
  <si>
    <t>Казенное учреждение "Хозяйственное управление Администрации Алексеевского сельского поселения Москаленского муниципального района Омской области"</t>
  </si>
  <si>
    <t>5521008784</t>
  </si>
  <si>
    <t>20-07-2016 00:00:00</t>
  </si>
  <si>
    <t>31481912</t>
  </si>
  <si>
    <t>МБУ "Управление жилищно-коммунального хозяйства и благоустройства"</t>
  </si>
  <si>
    <t>5528049684</t>
  </si>
  <si>
    <t>22-03-2021 00:00:00</t>
  </si>
  <si>
    <t>31520127</t>
  </si>
  <si>
    <t>5528049980</t>
  </si>
  <si>
    <t>12-10-2021 00:00:00</t>
  </si>
  <si>
    <t>30854699</t>
  </si>
  <si>
    <t>МКУ "Поселковое хозяйство"</t>
  </si>
  <si>
    <t>5514008656</t>
  </si>
  <si>
    <t>22-01-2010 00:00:00</t>
  </si>
  <si>
    <t>26486171</t>
  </si>
  <si>
    <t>МКУ "Родник" АБСП ИМР</t>
  </si>
  <si>
    <t>5514008060</t>
  </si>
  <si>
    <t>30384172</t>
  </si>
  <si>
    <t>МКУ "Сельский коммунальщик"</t>
  </si>
  <si>
    <t>5514008663</t>
  </si>
  <si>
    <t>10-11-2015 00:00:00</t>
  </si>
  <si>
    <t>31020004</t>
  </si>
  <si>
    <t>МКУ "Хозяйственная группа администрации Красногорского сельского поселения"</t>
  </si>
  <si>
    <t>5530005719</t>
  </si>
  <si>
    <t>07-07-2001 00:00:00</t>
  </si>
  <si>
    <t>30872443</t>
  </si>
  <si>
    <t>МКУ "Хозяйственное управление"</t>
  </si>
  <si>
    <t>5521009114</t>
  </si>
  <si>
    <t>24-09-2014 00:00:00</t>
  </si>
  <si>
    <t>26439406</t>
  </si>
  <si>
    <t>МП "Ермак"</t>
  </si>
  <si>
    <t>5535008760</t>
  </si>
  <si>
    <t>26374182</t>
  </si>
  <si>
    <t>МП "Кедр"</t>
  </si>
  <si>
    <t>5535007830</t>
  </si>
  <si>
    <t>26374184</t>
  </si>
  <si>
    <t>МП "Луч"</t>
  </si>
  <si>
    <t>5535008103</t>
  </si>
  <si>
    <t>30853428</t>
  </si>
  <si>
    <t>МП "Респект"</t>
  </si>
  <si>
    <t>5535016785</t>
  </si>
  <si>
    <t>18-10-2016 00:00:00</t>
  </si>
  <si>
    <t>26374189</t>
  </si>
  <si>
    <t>МП "Черняевское"</t>
  </si>
  <si>
    <t>5535008512</t>
  </si>
  <si>
    <t>20-02-2008 00:00:00</t>
  </si>
  <si>
    <t>31456591</t>
  </si>
  <si>
    <t>МУП "ВОДОКАНАЛ"</t>
  </si>
  <si>
    <t>5522007776</t>
  </si>
  <si>
    <t>09-10-2020 00:00:00</t>
  </si>
  <si>
    <t>31212503</t>
  </si>
  <si>
    <t>МУП "Водник"</t>
  </si>
  <si>
    <t>5531010486</t>
  </si>
  <si>
    <t>31358498</t>
  </si>
  <si>
    <t>МУП "Водоканал"</t>
  </si>
  <si>
    <t>5516003727</t>
  </si>
  <si>
    <t>19-08-2019 00:00:00</t>
  </si>
  <si>
    <t>31356649</t>
  </si>
  <si>
    <t>5518009139</t>
  </si>
  <si>
    <t>15-11-2019 00:00:00</t>
  </si>
  <si>
    <t>29645758</t>
  </si>
  <si>
    <t>МУП "Водоснабжение"</t>
  </si>
  <si>
    <t>5515013017</t>
  </si>
  <si>
    <t>20-05-2015 00:00:00</t>
  </si>
  <si>
    <t>26374185</t>
  </si>
  <si>
    <t>МУП "Волна"</t>
  </si>
  <si>
    <t>5535008150</t>
  </si>
  <si>
    <t>19-03-2007 00:00:00</t>
  </si>
  <si>
    <t>28795422</t>
  </si>
  <si>
    <t>МУП "Екатерининское КХ"</t>
  </si>
  <si>
    <t>5535007195</t>
  </si>
  <si>
    <t>30387546</t>
  </si>
  <si>
    <t>МУП "ЖКК"</t>
  </si>
  <si>
    <t>5538005005</t>
  </si>
  <si>
    <t>10-04-2015 00:00:00</t>
  </si>
  <si>
    <t>26439142</t>
  </si>
  <si>
    <t>МУП "Иртыш"</t>
  </si>
  <si>
    <t>5522006821</t>
  </si>
  <si>
    <t>31224762</t>
  </si>
  <si>
    <t>МУП "Источник"</t>
  </si>
  <si>
    <t>5510010037</t>
  </si>
  <si>
    <t>09-10-2018 00:00:00</t>
  </si>
  <si>
    <t>26374127</t>
  </si>
  <si>
    <t>МУП "Коммунальник" Костинского СП</t>
  </si>
  <si>
    <t>5522006719</t>
  </si>
  <si>
    <t>31289498</t>
  </si>
  <si>
    <t>МУП "Магистральный"</t>
  </si>
  <si>
    <t>5528046838</t>
  </si>
  <si>
    <t>13-12-2018 00:00:00</t>
  </si>
  <si>
    <t>30938941</t>
  </si>
  <si>
    <t>МУП "Новокарасукское"</t>
  </si>
  <si>
    <t>5518008992</t>
  </si>
  <si>
    <t>10-07-2017 00:00:00</t>
  </si>
  <si>
    <t>31557477</t>
  </si>
  <si>
    <t>МУП "Родник"</t>
  </si>
  <si>
    <t>5535017475</t>
  </si>
  <si>
    <t>30-11-2021 00:00:00</t>
  </si>
  <si>
    <t>26374186</t>
  </si>
  <si>
    <t>МУП "Рубин"</t>
  </si>
  <si>
    <t>5535008199</t>
  </si>
  <si>
    <t>31520206</t>
  </si>
  <si>
    <t>МУП "СКБУ" ОМР</t>
  </si>
  <si>
    <t>5528211778</t>
  </si>
  <si>
    <t>26602047</t>
  </si>
  <si>
    <t>МУП "Сыропятское"</t>
  </si>
  <si>
    <t>5517200125</t>
  </si>
  <si>
    <t>26-02-2019 00:00:00</t>
  </si>
  <si>
    <t>31214108</t>
  </si>
  <si>
    <t>МУП "Тараводоканал"</t>
  </si>
  <si>
    <t>5535017059</t>
  </si>
  <si>
    <t>20-08-2018 00:00:00</t>
  </si>
  <si>
    <t>31270127</t>
  </si>
  <si>
    <t>МУП "Эководсервис"</t>
  </si>
  <si>
    <t>5539015447</t>
  </si>
  <si>
    <t>19-02-2019 00:00:00</t>
  </si>
  <si>
    <t>28085638</t>
  </si>
  <si>
    <t>МУП «НФС «Воскресенская»</t>
  </si>
  <si>
    <t>5515201050</t>
  </si>
  <si>
    <t>28870634</t>
  </si>
  <si>
    <t>МУП Водострой</t>
  </si>
  <si>
    <t>5536005190</t>
  </si>
  <si>
    <t>26374154</t>
  </si>
  <si>
    <t>МУП ЖКХ "Крестинское"</t>
  </si>
  <si>
    <t>5527007554</t>
  </si>
  <si>
    <t>26606623</t>
  </si>
  <si>
    <t>МУП Кормиловский "Водоканал"</t>
  </si>
  <si>
    <t>5517010565</t>
  </si>
  <si>
    <t>26375264</t>
  </si>
  <si>
    <t>ОАО "Сибнефтепровод", Ишимское УМН</t>
  </si>
  <si>
    <t>7201000726</t>
  </si>
  <si>
    <t>26801172</t>
  </si>
  <si>
    <t>ООО "Агай"</t>
  </si>
  <si>
    <t>5510009176</t>
  </si>
  <si>
    <t>31639205</t>
  </si>
  <si>
    <t>ООО "Бекетовский"</t>
  </si>
  <si>
    <t>5503242196</t>
  </si>
  <si>
    <t>24-10-2022 00:00:00</t>
  </si>
  <si>
    <t>26374145</t>
  </si>
  <si>
    <t>ООО "Большегривский водоканал"</t>
  </si>
  <si>
    <t>5525010946</t>
  </si>
  <si>
    <t>26801520</t>
  </si>
  <si>
    <t>ООО "Вода"</t>
  </si>
  <si>
    <t>5510009190</t>
  </si>
  <si>
    <t>31421461</t>
  </si>
  <si>
    <t>5510010090</t>
  </si>
  <si>
    <t>27-01-2020 00:00:00</t>
  </si>
  <si>
    <t>30358040</t>
  </si>
  <si>
    <t>5538900128</t>
  </si>
  <si>
    <t>26374092</t>
  </si>
  <si>
    <t>ООО "Водоканал"</t>
  </si>
  <si>
    <t>5513005162</t>
  </si>
  <si>
    <t>28815731</t>
  </si>
  <si>
    <t>5515201003</t>
  </si>
  <si>
    <t>26797521</t>
  </si>
  <si>
    <t>5522007007</t>
  </si>
  <si>
    <t>26374194</t>
  </si>
  <si>
    <t>5537009102</t>
  </si>
  <si>
    <t>28077000</t>
  </si>
  <si>
    <t>ООО "Водстройсервис"</t>
  </si>
  <si>
    <t>5528204643</t>
  </si>
  <si>
    <t>06-10-2009 00:00:00</t>
  </si>
  <si>
    <t>31458370</t>
  </si>
  <si>
    <t>ООО "Гидросервис"</t>
  </si>
  <si>
    <t>5528047341</t>
  </si>
  <si>
    <t>28957623</t>
  </si>
  <si>
    <t>ООО "Гидросети"</t>
  </si>
  <si>
    <t>5503005822</t>
  </si>
  <si>
    <t>25-12-2014 00:00:00</t>
  </si>
  <si>
    <t>27565816</t>
  </si>
  <si>
    <t>ООО "ЖКХ "Осокинское"</t>
  </si>
  <si>
    <t>5515011436</t>
  </si>
  <si>
    <t>27247999</t>
  </si>
  <si>
    <t>ООО "ЖКХ Соловьевское"</t>
  </si>
  <si>
    <t>5530005540</t>
  </si>
  <si>
    <t>26382537</t>
  </si>
  <si>
    <t>ООО "ИСТОК"</t>
  </si>
  <si>
    <t>5519504320</t>
  </si>
  <si>
    <t>30835841</t>
  </si>
  <si>
    <t>ООО "Ингалы Сервис"</t>
  </si>
  <si>
    <t>5510009803</t>
  </si>
  <si>
    <t>14-04-2016 00:00:00</t>
  </si>
  <si>
    <t>26513195</t>
  </si>
  <si>
    <t>5510008944</t>
  </si>
  <si>
    <t>26812443</t>
  </si>
  <si>
    <t>ООО "К-Сервис"</t>
  </si>
  <si>
    <t>5510009169</t>
  </si>
  <si>
    <t>31521824</t>
  </si>
  <si>
    <t>ООО "КСС"</t>
  </si>
  <si>
    <t>5506169392</t>
  </si>
  <si>
    <t>30910870</t>
  </si>
  <si>
    <t>ООО "Качуковское"</t>
  </si>
  <si>
    <t>5513006141</t>
  </si>
  <si>
    <t>12-04-2016 00:00:00</t>
  </si>
  <si>
    <t>26801456</t>
  </si>
  <si>
    <t>ООО "Ключ"</t>
  </si>
  <si>
    <t>5510009183</t>
  </si>
  <si>
    <t>31077429</t>
  </si>
  <si>
    <t>ООО "Коммуналсервис"</t>
  </si>
  <si>
    <t>5503167911</t>
  </si>
  <si>
    <t>31578676</t>
  </si>
  <si>
    <t>ООО "Кристалл"</t>
  </si>
  <si>
    <t>5510010189</t>
  </si>
  <si>
    <t>31523494</t>
  </si>
  <si>
    <t>ООО "Мир"</t>
  </si>
  <si>
    <t>5510010164</t>
  </si>
  <si>
    <t>29-10-2021 00:00:00</t>
  </si>
  <si>
    <t>31367190</t>
  </si>
  <si>
    <t>ООО "Морозовская птицефабрика"</t>
  </si>
  <si>
    <t>5528212010</t>
  </si>
  <si>
    <t>31492091</t>
  </si>
  <si>
    <t>ООО "НД СЕТИ"</t>
  </si>
  <si>
    <t>5528048352</t>
  </si>
  <si>
    <t>11-02-2020 00:00:00</t>
  </si>
  <si>
    <t>26766733</t>
  </si>
  <si>
    <t>ООО "Нижнеомский коммунальник"</t>
  </si>
  <si>
    <t>5524200013</t>
  </si>
  <si>
    <t>28858187</t>
  </si>
  <si>
    <t>ООО "Овощевод"</t>
  </si>
  <si>
    <t>5531007324</t>
  </si>
  <si>
    <t>28-07-2005 00:00:00</t>
  </si>
  <si>
    <t>31213239</t>
  </si>
  <si>
    <t>ООО "ПРОМЭКС"</t>
  </si>
  <si>
    <t>5501189525</t>
  </si>
  <si>
    <t>17-05-2018 00:00:00</t>
  </si>
  <si>
    <t>26513197</t>
  </si>
  <si>
    <t>ООО "Родник"</t>
  </si>
  <si>
    <t>5510008687</t>
  </si>
  <si>
    <t>28820981</t>
  </si>
  <si>
    <t>ООО "Роса"</t>
  </si>
  <si>
    <t>5535009724</t>
  </si>
  <si>
    <t>31584117</t>
  </si>
  <si>
    <t>ООО "Росинка"</t>
  </si>
  <si>
    <t>5510010206</t>
  </si>
  <si>
    <t>27-04-2022 00:00:00</t>
  </si>
  <si>
    <t>30357387</t>
  </si>
  <si>
    <t>ООО "Русводоканал"</t>
  </si>
  <si>
    <t>5531008303</t>
  </si>
  <si>
    <t>31-08-2009 00:00:00</t>
  </si>
  <si>
    <t>26513020</t>
  </si>
  <si>
    <t>ООО "СУ-Сервис"</t>
  </si>
  <si>
    <t>5510008937</t>
  </si>
  <si>
    <t>30359341</t>
  </si>
  <si>
    <t>ООО "Серебряный ключ"</t>
  </si>
  <si>
    <t>5510009641</t>
  </si>
  <si>
    <t>15-07-2015 00:00:00</t>
  </si>
  <si>
    <t>26491226</t>
  </si>
  <si>
    <t>ООО "ТевризЖилСервис"</t>
  </si>
  <si>
    <t>5536005391</t>
  </si>
  <si>
    <t>31077440</t>
  </si>
  <si>
    <t>ООО "Транзит"</t>
  </si>
  <si>
    <t>5528213359</t>
  </si>
  <si>
    <t>16-10-2014 00:00:00</t>
  </si>
  <si>
    <t>26439280</t>
  </si>
  <si>
    <t>ООО "УК "Ясная поляна"</t>
  </si>
  <si>
    <t>5528029624</t>
  </si>
  <si>
    <t>31413266</t>
  </si>
  <si>
    <t>ООО УК "АСО-СЕРВИС"</t>
  </si>
  <si>
    <t>5528035522</t>
  </si>
  <si>
    <t>30-03-2020 00:00:00</t>
  </si>
  <si>
    <t>29648812</t>
  </si>
  <si>
    <t>Омский филиал ЗАО "ЭКОМЕТ-С"</t>
  </si>
  <si>
    <t>7813026343</t>
  </si>
  <si>
    <t>550443001</t>
  </si>
  <si>
    <t>20-03-2013 00:00:00</t>
  </si>
  <si>
    <t>29645812</t>
  </si>
  <si>
    <t>СПК "Ачаирский-1"</t>
  </si>
  <si>
    <t>5528018238</t>
  </si>
  <si>
    <t>19-12-2002 00:00:00</t>
  </si>
  <si>
    <t>26374137</t>
  </si>
  <si>
    <t>СПК "Ермак"</t>
  </si>
  <si>
    <t>5525009789</t>
  </si>
  <si>
    <t>26374151</t>
  </si>
  <si>
    <t>СПК "Любимовский"</t>
  </si>
  <si>
    <t>5527007219</t>
  </si>
  <si>
    <t>26374143</t>
  </si>
  <si>
    <t>СПК "Новороссийский"</t>
  </si>
  <si>
    <t>5525010054</t>
  </si>
  <si>
    <t>26374140</t>
  </si>
  <si>
    <t>СПК "Рассохинский"</t>
  </si>
  <si>
    <t>5525009676</t>
  </si>
  <si>
    <t>26513054</t>
  </si>
  <si>
    <t>СПК "Строкинский-1"</t>
  </si>
  <si>
    <t>5516002709</t>
  </si>
  <si>
    <t>27630540</t>
  </si>
  <si>
    <t>СПК имени Кирова</t>
  </si>
  <si>
    <t>5515000280</t>
  </si>
  <si>
    <t>31300549</t>
  </si>
  <si>
    <t>АО "Продовольственная корпорация "ОША"</t>
  </si>
  <si>
    <t>5528011313</t>
  </si>
  <si>
    <t>03-03-2019 00:00:00</t>
  </si>
  <si>
    <t>31502213</t>
  </si>
  <si>
    <t>БУ г. Омска "УДХБ"</t>
  </si>
  <si>
    <t>5504237696</t>
  </si>
  <si>
    <t>01-06-2021 00:00:00</t>
  </si>
  <si>
    <t>31078247</t>
  </si>
  <si>
    <t>ДНП "Ребровка-2"</t>
  </si>
  <si>
    <t>5528205816</t>
  </si>
  <si>
    <t>31290014</t>
  </si>
  <si>
    <t>МКУ "Административно-хозяйственное управление"</t>
  </si>
  <si>
    <t>5521014241</t>
  </si>
  <si>
    <t>12-03-2019 00:00:00</t>
  </si>
  <si>
    <t>31578171</t>
  </si>
  <si>
    <t>МУП "ТОС"</t>
  </si>
  <si>
    <t>5534021535</t>
  </si>
  <si>
    <t>07-04-2022 00:00:00</t>
  </si>
  <si>
    <t>28274841</t>
  </si>
  <si>
    <t>ООО "БОС"</t>
  </si>
  <si>
    <t>5510009377</t>
  </si>
  <si>
    <t>26850757</t>
  </si>
  <si>
    <t>ООО "ВЕРШИНА"</t>
  </si>
  <si>
    <t>5528206947</t>
  </si>
  <si>
    <t>30801735</t>
  </si>
  <si>
    <t>ООО "ЖКУ"</t>
  </si>
  <si>
    <t>5521011995</t>
  </si>
  <si>
    <t>21-03-2016 00:00:00</t>
  </si>
  <si>
    <t>28869375</t>
  </si>
  <si>
    <t>ООО "Иртыш"</t>
  </si>
  <si>
    <t>5507080556</t>
  </si>
  <si>
    <t>05-04-2006 00:00:00</t>
  </si>
  <si>
    <t>26486158</t>
  </si>
  <si>
    <t>ООО "Коммунальщик"</t>
  </si>
  <si>
    <t>5520007594</t>
  </si>
  <si>
    <t>31300568</t>
  </si>
  <si>
    <t>ООО "ЛВЗ "ОША"</t>
  </si>
  <si>
    <t>5503024984</t>
  </si>
  <si>
    <t>28-03-2019 00:00:00</t>
  </si>
  <si>
    <t>30839038</t>
  </si>
  <si>
    <t>ООО "Поле"</t>
  </si>
  <si>
    <t>5534012160</t>
  </si>
  <si>
    <t>03-09-2015 00:00:00</t>
  </si>
  <si>
    <t>31340477</t>
  </si>
  <si>
    <t>ООО "СГС"</t>
  </si>
  <si>
    <t>5507186390</t>
  </si>
  <si>
    <t>26-12-2016 00:00:00</t>
  </si>
  <si>
    <t>31443893</t>
  </si>
  <si>
    <t>5521015460</t>
  </si>
  <si>
    <t>09-07-2020 00:00:00</t>
  </si>
  <si>
    <t>30356255</t>
  </si>
  <si>
    <t>ООО "Тара-канал"</t>
  </si>
  <si>
    <t>5535010261</t>
  </si>
  <si>
    <t>25-09-2015 00:00:00</t>
  </si>
  <si>
    <t>31159175</t>
  </si>
  <si>
    <t>ООО "УК "Гарант-сервис"</t>
  </si>
  <si>
    <t>5528032384</t>
  </si>
  <si>
    <t>12-02-2016 00:00:00</t>
  </si>
  <si>
    <t>31159169</t>
  </si>
  <si>
    <t>ООО "УК "СпецПартнер"</t>
  </si>
  <si>
    <t>5528035402</t>
  </si>
  <si>
    <t>26426634</t>
  </si>
  <si>
    <t>ООО Фирма "Ново-Троицк"</t>
  </si>
  <si>
    <t>5501055948</t>
  </si>
  <si>
    <t>31237355</t>
  </si>
  <si>
    <t>Общество с ограниченной ответственностью "АРЕАЛ-СЕРВИС"</t>
  </si>
  <si>
    <t>5507099966</t>
  </si>
  <si>
    <t>04-03-2005 00:00:00</t>
  </si>
  <si>
    <t>26318885</t>
  </si>
  <si>
    <t>АО "Газпром энергосбыт"</t>
  </si>
  <si>
    <t>7705750968</t>
  </si>
  <si>
    <t>772901001</t>
  </si>
  <si>
    <t>26318876</t>
  </si>
  <si>
    <t>АО "Мосэнергосбыт"</t>
  </si>
  <si>
    <t>7736520080</t>
  </si>
  <si>
    <t>997650001</t>
  </si>
  <si>
    <t>26617350</t>
  </si>
  <si>
    <t>АО "Оборонэнергосбыт"</t>
  </si>
  <si>
    <t>7704731218</t>
  </si>
  <si>
    <t>773043001</t>
  </si>
  <si>
    <t>23-03-2010 00:00:00</t>
  </si>
  <si>
    <t>26320193</t>
  </si>
  <si>
    <t>АО "Омскэлектро"</t>
  </si>
  <si>
    <t>5506225921</t>
  </si>
  <si>
    <t>26424359</t>
  </si>
  <si>
    <t>АО "Петербургская сбытовая компания"</t>
  </si>
  <si>
    <t>7841322249</t>
  </si>
  <si>
    <t>780401001</t>
  </si>
  <si>
    <t>26448586</t>
  </si>
  <si>
    <t>АО "Сибурэнергоменеджмент"</t>
  </si>
  <si>
    <t>7727276526</t>
  </si>
  <si>
    <t>366301001</t>
  </si>
  <si>
    <t>26519096</t>
  </si>
  <si>
    <t>АО "Система"</t>
  </si>
  <si>
    <t>4205173700</t>
  </si>
  <si>
    <t>420501001</t>
  </si>
  <si>
    <t>05-02-2009 00:00:00</t>
  </si>
  <si>
    <t>26500047</t>
  </si>
  <si>
    <t>АО "Энергосбытовая компания "Восток"</t>
  </si>
  <si>
    <t>7705424509</t>
  </si>
  <si>
    <t>19-12-2001 00:00:00</t>
  </si>
  <si>
    <t>26320191</t>
  </si>
  <si>
    <t>ЗАО "Энергосервис 2000"</t>
  </si>
  <si>
    <t>5501063748</t>
  </si>
  <si>
    <t>03-08-2001 00:00:00</t>
  </si>
  <si>
    <t>26767932</t>
  </si>
  <si>
    <t>Западно-Сибирская дирекция по энергообеспечению-Трансэнерго, филиала ОАО "РЖД"</t>
  </si>
  <si>
    <t>540745012</t>
  </si>
  <si>
    <t>26804265</t>
  </si>
  <si>
    <t>ИП Кацман В.В.</t>
  </si>
  <si>
    <t>550500237109</t>
  </si>
  <si>
    <t>10-08-2010 00:00:00</t>
  </si>
  <si>
    <t>26358914</t>
  </si>
  <si>
    <t>ОАО "Мясокомбинат "Омский"</t>
  </si>
  <si>
    <t>5507005446</t>
  </si>
  <si>
    <t>26320231</t>
  </si>
  <si>
    <t>ОАО "Омсккровля"</t>
  </si>
  <si>
    <t>5501001004</t>
  </si>
  <si>
    <t>31591319</t>
  </si>
  <si>
    <t>ОБЩЕСТВО С ОГРАНИЧЕННОЙ ОТВЕТСТВЕННОСТЬЮ "ВОЗОБНОВЛЯЕМЫЕ ИСТОЧНИКИ ЭНЕРГИИ ЮГ"</t>
  </si>
  <si>
    <t>2124047245</t>
  </si>
  <si>
    <t>212404724</t>
  </si>
  <si>
    <t>02-06-2022 00:00:00</t>
  </si>
  <si>
    <t>30858691</t>
  </si>
  <si>
    <t>ООО "Агроэнергонадзор"</t>
  </si>
  <si>
    <t>5504240392</t>
  </si>
  <si>
    <t>28-12-2016 00:00:00</t>
  </si>
  <si>
    <t>31458211</t>
  </si>
  <si>
    <t>ООО "Газпромнефть-Энергосервис"</t>
  </si>
  <si>
    <t>7727306280</t>
  </si>
  <si>
    <t>772701001</t>
  </si>
  <si>
    <t>28-12-2020 00:00:00</t>
  </si>
  <si>
    <t>26804407</t>
  </si>
  <si>
    <t>ООО "Гранат"</t>
  </si>
  <si>
    <t>5503219060</t>
  </si>
  <si>
    <t>10-03-2010 00:00:00</t>
  </si>
  <si>
    <t>31057024</t>
  </si>
  <si>
    <t>ООО "Грин Энерджи Рус"</t>
  </si>
  <si>
    <t>9718043825</t>
  </si>
  <si>
    <t>772801001</t>
  </si>
  <si>
    <t>16-01-2017 00:00:00</t>
  </si>
  <si>
    <t>30911713</t>
  </si>
  <si>
    <t>ООО "ЕЭС-Гарант"</t>
  </si>
  <si>
    <t>5024173259</t>
  </si>
  <si>
    <t>502401001</t>
  </si>
  <si>
    <t>01-03-2017 00:00:00</t>
  </si>
  <si>
    <t>30849951</t>
  </si>
  <si>
    <t>ООО "ЗСК-1 Электро"</t>
  </si>
  <si>
    <t>5501175843</t>
  </si>
  <si>
    <t>08-08-2016 00:00:00</t>
  </si>
  <si>
    <t>27707921</t>
  </si>
  <si>
    <t>ООО "Инвест-химпром"</t>
  </si>
  <si>
    <t>5506203389</t>
  </si>
  <si>
    <t>12-05-2012 00:00:00</t>
  </si>
  <si>
    <t>26320212</t>
  </si>
  <si>
    <t>ООО "КСМ "Сибирский железобетон"</t>
  </si>
  <si>
    <t>5502043769</t>
  </si>
  <si>
    <t>24-12-1998 00:00:00</t>
  </si>
  <si>
    <t>26559006</t>
  </si>
  <si>
    <t>ООО "КЭС"</t>
  </si>
  <si>
    <t>2308138781</t>
  </si>
  <si>
    <t>230801001</t>
  </si>
  <si>
    <t>26319008</t>
  </si>
  <si>
    <t>ООО "ЛУКОЙЛ-ЭНЕРГОСЕРВИС"</t>
  </si>
  <si>
    <t>5030040730</t>
  </si>
  <si>
    <t>503001001</t>
  </si>
  <si>
    <t>31179747</t>
  </si>
  <si>
    <t>26516013</t>
  </si>
  <si>
    <t>ООО "МАРЭМ+"</t>
  </si>
  <si>
    <t>7702387915</t>
  </si>
  <si>
    <t>770201001</t>
  </si>
  <si>
    <t>16-02-1998 00:00:00</t>
  </si>
  <si>
    <t>28147378</t>
  </si>
  <si>
    <t>ООО "МагнитЭнерго"</t>
  </si>
  <si>
    <t>7715902899</t>
  </si>
  <si>
    <t>231001001</t>
  </si>
  <si>
    <t>31213999</t>
  </si>
  <si>
    <t>ООО "ОЭСК"</t>
  </si>
  <si>
    <t>5507264592</t>
  </si>
  <si>
    <t>24-09-2018 00:00:00</t>
  </si>
  <si>
    <t>31349170</t>
  </si>
  <si>
    <t>ООО "Омская энергосбытовая компания"</t>
  </si>
  <si>
    <t>5503248039</t>
  </si>
  <si>
    <t>27-08-2019 00:00:00</t>
  </si>
  <si>
    <t>26320216</t>
  </si>
  <si>
    <t>ООО "Омский завод газовой аппаратуры"</t>
  </si>
  <si>
    <t>5506053013</t>
  </si>
  <si>
    <t>26320218</t>
  </si>
  <si>
    <t>ООО "ПКФ "Гранат"</t>
  </si>
  <si>
    <t>5503068396</t>
  </si>
  <si>
    <t>21-08-2002 00:00:00</t>
  </si>
  <si>
    <t>30379249</t>
  </si>
  <si>
    <t>ООО "ПКЦ "Промжелдортранс"</t>
  </si>
  <si>
    <t>5503223997</t>
  </si>
  <si>
    <t>12-11-2010 00:00:00</t>
  </si>
  <si>
    <t>26832139</t>
  </si>
  <si>
    <t>5503242527</t>
  </si>
  <si>
    <t>30944486</t>
  </si>
  <si>
    <t>ООО "ПРОФМОНТАЖ"</t>
  </si>
  <si>
    <t>5505214910</t>
  </si>
  <si>
    <t>26426650</t>
  </si>
  <si>
    <t>ООО "Планета-Центр"</t>
  </si>
  <si>
    <t>5505029515</t>
  </si>
  <si>
    <t>27-12-1999 00:00:00</t>
  </si>
  <si>
    <t>28113333</t>
  </si>
  <si>
    <t>ООО "РН-Энерго"</t>
  </si>
  <si>
    <t>7706525041</t>
  </si>
  <si>
    <t>774850001</t>
  </si>
  <si>
    <t>26-02-2004 00:00:00</t>
  </si>
  <si>
    <t>26416221</t>
  </si>
  <si>
    <t>02-05-2012 00:00:00</t>
  </si>
  <si>
    <t>28494201</t>
  </si>
  <si>
    <t>ООО "РУСЭНЕРГО"</t>
  </si>
  <si>
    <t>4401144416</t>
  </si>
  <si>
    <t>770501001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</si>
  <si>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</si>
  <si>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</si>
  <si>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</si>
  <si>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</si>
  <si>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</si>
  <si>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</si>
  <si>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</si>
  <si>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770401001</t>
  </si>
  <si>
    <t>26502786</t>
  </si>
  <si>
    <t>ООО "Русэнергосбыт"</t>
  </si>
  <si>
    <t>7706284124</t>
  </si>
  <si>
    <t>26320224</t>
  </si>
  <si>
    <t>ООО "СК "Трест железобетон"</t>
  </si>
  <si>
    <t>5501054581</t>
  </si>
  <si>
    <t>30952550</t>
  </si>
  <si>
    <t>ООО "Сельхозэнерго"</t>
  </si>
  <si>
    <t>5503252028</t>
  </si>
  <si>
    <t>20-08-2014 00:00:00</t>
  </si>
  <si>
    <t>30357657</t>
  </si>
  <si>
    <t>ООО "СибЭнерго"</t>
  </si>
  <si>
    <t>5505048356</t>
  </si>
  <si>
    <t>26426931</t>
  </si>
  <si>
    <t>ООО "ТФ "ОЛИМП"</t>
  </si>
  <si>
    <t>5507046435</t>
  </si>
  <si>
    <t>26419676</t>
  </si>
  <si>
    <t>ООО "ТрансЭнерго"</t>
  </si>
  <si>
    <t>5528200776</t>
  </si>
  <si>
    <t>05-02-2008 00:00:00</t>
  </si>
  <si>
    <t>26497668</t>
  </si>
  <si>
    <t>ООО "Транснефтьэнерго"</t>
  </si>
  <si>
    <t>7703552167</t>
  </si>
  <si>
    <t>772301001</t>
  </si>
  <si>
    <t>01-07-2009 00:00:00</t>
  </si>
  <si>
    <t>28117862</t>
  </si>
  <si>
    <t>ООО "УК "Энергосети"</t>
  </si>
  <si>
    <t>5506044555</t>
  </si>
  <si>
    <t>28-02-2013 00:00:00</t>
  </si>
  <si>
    <t>28175700</t>
  </si>
  <si>
    <t>ООО "Центрэнерго"</t>
  </si>
  <si>
    <t>7703728269</t>
  </si>
  <si>
    <t>770301001</t>
  </si>
  <si>
    <t>28459590</t>
  </si>
  <si>
    <t>ООО "Электрум"</t>
  </si>
  <si>
    <t>5503233522</t>
  </si>
  <si>
    <t>21-02-2012 00:00:00</t>
  </si>
  <si>
    <t>30910886</t>
  </si>
  <si>
    <t>ООО "ЭнергоСфера Омск"</t>
  </si>
  <si>
    <t>5501179460</t>
  </si>
  <si>
    <t>28816986</t>
  </si>
  <si>
    <t>ООО "Энергоснабжение"</t>
  </si>
  <si>
    <t>5501254502</t>
  </si>
  <si>
    <t>31435935</t>
  </si>
  <si>
    <t>ООО "Энергоцентр"</t>
  </si>
  <si>
    <t>5507274047</t>
  </si>
  <si>
    <t>11-12-2019 00:00:00</t>
  </si>
  <si>
    <t>30433612</t>
  </si>
  <si>
    <t>ООО «Энергетическая компания «СТИ»</t>
  </si>
  <si>
    <t>7839041402</t>
  </si>
  <si>
    <t>783901001</t>
  </si>
  <si>
    <t>26792017</t>
  </si>
  <si>
    <t>Общество с ограниченной ответственностью "АРСТЭМ-ЭнергоТрейд", г.Екатеринбург</t>
  </si>
  <si>
    <t>6672185635</t>
  </si>
  <si>
    <t>667201001</t>
  </si>
  <si>
    <t>26794477</t>
  </si>
  <si>
    <t>Открытое акционерное общество "Оборонэнергосбыт" филиал "Уральский"</t>
  </si>
  <si>
    <t>667243002</t>
  </si>
  <si>
    <t>26832761</t>
  </si>
  <si>
    <t>ПАО "ФСК - Россети"</t>
  </si>
  <si>
    <t>4716016979</t>
  </si>
  <si>
    <t>773101001</t>
  </si>
  <si>
    <t>27954259</t>
  </si>
  <si>
    <t>997450001</t>
  </si>
  <si>
    <t>30920381</t>
  </si>
  <si>
    <t>Удмуртский филиал ООО "ЕЭС-Гарант"</t>
  </si>
  <si>
    <t>184143001</t>
  </si>
  <si>
    <t>26842383</t>
  </si>
  <si>
    <t>ФГУП "РТРС" филиал Омский ОРТПЦ</t>
  </si>
  <si>
    <t>7717127211</t>
  </si>
  <si>
    <t>550102001</t>
  </si>
  <si>
    <t>23-11-2001 00:00:00</t>
  </si>
  <si>
    <t>26847878</t>
  </si>
  <si>
    <t>Филиал "ОМО  им. П.И. Баранова" Акционерного общества "Научно-производственный центр газотурбостроения "Салют"</t>
  </si>
  <si>
    <t>7719030663</t>
  </si>
  <si>
    <t>21-01-1992 00:00:00</t>
  </si>
  <si>
    <t>31288367</t>
  </si>
  <si>
    <t>Филиал АО "ОДК"  "ОМО им.П.И. Баранова"</t>
  </si>
  <si>
    <t>7731644035</t>
  </si>
  <si>
    <t>01-01-2019 00:00:00</t>
  </si>
  <si>
    <t>26798763</t>
  </si>
  <si>
    <t>Филиал ОАО "РЖД"-Свердловская железная дорога, Ишимская дистанция электроснабжения</t>
  </si>
  <si>
    <t>720545012</t>
  </si>
  <si>
    <t>27196237</t>
  </si>
  <si>
    <t>филиал "Забайкальский" АО "Оборонэнерго"</t>
  </si>
  <si>
    <t>7704726225</t>
  </si>
  <si>
    <t>753643001</t>
  </si>
  <si>
    <t>31-08-2011 00:00:00</t>
  </si>
  <si>
    <t>27269797</t>
  </si>
  <si>
    <t>филиал "Сибирский" АО "Оборонэнерго"</t>
  </si>
  <si>
    <t>540643001</t>
  </si>
  <si>
    <t>DOC</t>
  </si>
  <si>
    <t>CELL</t>
  </si>
  <si>
    <t>Правообладатель шаблона - ООО «Платформа» (ОГРН 1147746709153). _x000D_
Данный шаблон предоставлен в использование исключительно для сбора информации с регулируемых организаций на территории субъекта РФ: Омская область, Белгородская область. Распространение, передача настоящего шаблона государственным органам и/или регулируемым организациям и иным лицам, осуществляющим деятельность на территории других субъектов Российской Федерации,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Федерации.</t>
  </si>
  <si>
    <t>У Вас нет прав на заполнение данной формы. Обратитесь в службу поддержки https://tariff.expert/</t>
  </si>
  <si>
    <t>31.12.2023</t>
  </si>
  <si>
    <t>Расчет уровня надежности и качества поставляемых товаров и оказываемых услуг</t>
  </si>
  <si>
    <t>Субъект РФ</t>
  </si>
  <si>
    <t>Отчет предоставляется в рамках первого долгосрочного периода регулирования</t>
  </si>
  <si>
    <t>Первый год долгосрочного периода регулирования</t>
  </si>
  <si>
    <t>Тип данных</t>
  </si>
  <si>
    <t>Факт</t>
  </si>
  <si>
    <t>Отчетный фактический период</t>
  </si>
  <si>
    <t>Версия</t>
  </si>
  <si>
    <t>Версия организации</t>
  </si>
  <si>
    <t>Признак филиала</t>
  </si>
  <si>
    <t>Нет</t>
  </si>
  <si>
    <t>Организация</t>
  </si>
  <si>
    <t>Наименование филиала</t>
  </si>
  <si>
    <t>ИНН</t>
  </si>
  <si>
    <t>КПП</t>
  </si>
  <si>
    <t>Вид деятельности</t>
  </si>
  <si>
    <t>Адрес организации</t>
  </si>
  <si>
    <t>Юридический адрес</t>
  </si>
  <si>
    <t>644116, Омск, ул. 36-я Северная, 5, пом. 5П</t>
  </si>
  <si>
    <t>Почтовый адрес</t>
  </si>
  <si>
    <t>644116, Омск, ул. 36-я Северная, 5</t>
  </si>
  <si>
    <t>Руководитель</t>
  </si>
  <si>
    <t>Фамилия, имя, отчество</t>
  </si>
  <si>
    <t>Иванов Илья Николаевич</t>
  </si>
  <si>
    <t>Должность</t>
  </si>
  <si>
    <t>Исполнительный директор</t>
  </si>
  <si>
    <t>(код) номер телефона</t>
  </si>
  <si>
    <t>8(3812)681559</t>
  </si>
  <si>
    <t>Главный бухгалтер</t>
  </si>
  <si>
    <t>Кацман Вадим Валерьевич</t>
  </si>
  <si>
    <t>Должностное лицо, ответственное за составление формы</t>
  </si>
  <si>
    <t>Каразюк Александр Владимирович</t>
  </si>
  <si>
    <t>инженер</t>
  </si>
  <si>
    <t>8(3812)790593</t>
  </si>
  <si>
    <t>e-mail</t>
  </si>
  <si>
    <t>karazyukav@mail.ru</t>
  </si>
  <si>
    <t xml:space="preserve">Оглавление шаблона (список листов) </t>
  </si>
  <si>
    <t>скрыть</t>
  </si>
  <si>
    <t>Инструкция</t>
  </si>
  <si>
    <t>перейти на лист</t>
  </si>
  <si>
    <t>Титульный</t>
  </si>
  <si>
    <t>Список листов</t>
  </si>
  <si>
    <t>ф.2.1 ИндИнф (Ин)</t>
  </si>
  <si>
    <t>ф.2.2 ИндИспол (Ис)</t>
  </si>
  <si>
    <t>ф.2.3 ИндРезульт (Рс)</t>
  </si>
  <si>
    <t>ф.1.3 Ср.продолж.</t>
  </si>
  <si>
    <t>ф.8.1 Журнал учета</t>
  </si>
  <si>
    <t>ф.8.1.1 Ведомость_свод</t>
  </si>
  <si>
    <t>ф.8.3 Индикатив</t>
  </si>
  <si>
    <t>Ф.3.1Ф3.2 ПоказТехприс (Птпр)</t>
  </si>
  <si>
    <t>Форма 4.1 расч.</t>
  </si>
  <si>
    <t>Форма 4.2 расч.</t>
  </si>
  <si>
    <t>ф.1.9 Характеристика</t>
  </si>
  <si>
    <t>Ф9.1Ф9.2</t>
  </si>
  <si>
    <t>Сопроводительные материалы</t>
  </si>
  <si>
    <r>
      <rPr>
        <sz val="9"/>
        <rFont val="Tahoma"/>
        <family val="2"/>
        <charset val="204"/>
      </rPr>
      <t>Форма 2.1. Расчет значения индикатора информативности</t>
    </r>
  </si>
  <si>
    <t>№_x000D_
п/п</t>
  </si>
  <si>
    <t>Наименование параметра (критерия), характеризующего индикатор</t>
  </si>
  <si>
    <t>Значение</t>
  </si>
  <si>
    <t>Ф/П*100_x000D_
%</t>
  </si>
  <si>
    <t>Зависимость</t>
  </si>
  <si>
    <t>Оценочный_x000D_
балл</t>
  </si>
  <si>
    <t>факт_x000D_
(Ф)</t>
  </si>
  <si>
    <t>план_x000D_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</si>
  <si>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</si>
  <si>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</si>
  <si>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</si>
  <si>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прямая</t>
  </si>
  <si>
    <t>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</si>
  <si>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</si>
  <si>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</si>
  <si>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1.2.1</t>
  </si>
  <si>
    <t>а) регламенты оказания услуг и рассмотрения обращений заявителей и потребителей услуг, шт.</t>
  </si>
  <si>
    <t>1.2.2</t>
  </si>
  <si>
    <t>б) наличие положения о деятельности структурного подразделения по работе _x000D_
с заявителями и потребителями услуг_x000D_
(наличие - 1, отсутствие - 0)</t>
  </si>
  <si>
    <t>1.2.3</t>
  </si>
  <si>
    <t>в) должностные инструкции сотрудников, обслуживающих заявителей и потребителей услуг, шт.</t>
  </si>
  <si>
    <t>1.2.4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</si>
  <si>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</si>
  <si>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</si>
  <si>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</si>
  <si>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2.1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</si>
  <si>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</si>
  <si>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</si>
  <si>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</si>
  <si>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</si>
  <si>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</si>
  <si>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</si>
  <si>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</si>
  <si>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</si>
  <si>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</si>
  <si>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</si>
  <si>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</si>
  <si>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</si>
  <si>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</si>
  <si>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</si>
  <si>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</si>
  <si>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</si>
  <si>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</si>
  <si>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7</t>
  </si>
  <si>
    <t>Итого по индикатору информативности (Ин)</t>
  </si>
  <si>
    <t>ФИО</t>
  </si>
  <si>
    <t>Подпись</t>
  </si>
  <si>
    <r>
      <rPr>
        <sz val="9"/>
        <rFont val="Tahoma"/>
        <family val="2"/>
        <charset val="204"/>
      </rPr>
      <t>Форма 2.2. Расчет значения индикатора исполнительности</t>
    </r>
  </si>
  <si>
    <t>Зависи-мость</t>
  </si>
  <si>
    <t>Оценоч-ный_x000D_
балл</t>
  </si>
  <si>
    <t>фактическое_x000D_
(Ф)</t>
  </si>
  <si>
    <t>плановое_x000D_
(П)</t>
  </si>
  <si>
    <t>Соблюдение сроков по процедурам взаимодействия с потребителями услуг (заявителями) - всего,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</si>
  <si>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</si>
  <si>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</si>
  <si>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</si>
  <si>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</si>
  <si>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</si>
  <si>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</si>
  <si>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</si>
  <si>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</si>
  <si>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Наличие взаимодействия с потребителями услуг при выводе оборудования в ремонт и (или) из эксплуатации</t>
  </si>
  <si>
    <t>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</si>
  <si>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</si>
  <si>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</si>
  <si>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</si>
  <si>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</si>
  <si>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</si>
  <si>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</si>
  <si>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Итого по индикатору исполнительности (Ис)</t>
  </si>
  <si>
    <r>
      <rPr>
        <sz val="9"/>
        <rFont val="Tahoma"/>
        <family val="2"/>
        <charset val="204"/>
      </rPr>
      <t>Форма 2.3. Расчет значения индикатора результативности обратной связи</t>
    </r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</si>
  <si>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</si>
  <si>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</si>
  <si>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</si>
  <si>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</si>
  <si>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</si>
  <si>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</si>
  <si>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</si>
  <si>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2.5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</si>
  <si>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</si>
  <si>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2.6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</si>
  <si>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</si>
  <si>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</si>
  <si>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</si>
  <si>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</si>
  <si>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3.2.1</t>
  </si>
  <si>
    <t>а) письменных опросов, шт. на 1000 потребителей услуг</t>
  </si>
  <si>
    <t>3.2.2</t>
  </si>
  <si>
    <t>б) электронной связи через сеть Интернет, шт. на 1000 потребителей услуг</t>
  </si>
  <si>
    <t>3.2.3</t>
  </si>
  <si>
    <t>в)* 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</si>
  <si>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</si>
  <si>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</si>
  <si>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</si>
  <si>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</si>
  <si>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</si>
  <si>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</si>
  <si>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 (Рс)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</si>
  <si>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</si>
  <si>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</si>
  <si>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№ п/п</t>
  </si>
  <si>
    <t>Наименование показателя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</si>
  <si>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</si>
  <si>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</si>
  <si>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</si>
  <si>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>f_8_1_vis_reg_flags</t>
  </si>
  <si>
    <t>f_8_1_vis_flags</t>
  </si>
  <si>
    <t xml:space="preserve">Форма 8.1.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</si>
  <si>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</si>
  <si>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</si>
  <si>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</si>
  <si>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_x000D_
передачи электрической энергии и их расследовании</t>
  </si>
  <si>
    <t>Учет в показателях надежности, в т.ч. индикативных показателях надежности _x000D_
(0 - нет, 1 - да)</t>
  </si>
  <si>
    <t>Смежная сетевая организация, являющаяся причиной прекращения передачи электрической энергии</t>
  </si>
  <si>
    <t>Ссылки на акт расследования</t>
  </si>
  <si>
    <t>Версия регулятора</t>
  </si>
  <si>
    <t>Наименование структурной единицы сетевой организации</t>
  </si>
  <si>
    <t>Вид объекта (КЛ, ВЛ, КВЛ, ПС, ТП, РП)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</si>
  <si>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</si>
  <si>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</si>
  <si>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</si>
  <si>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</si>
  <si>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</si>
  <si>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</si>
  <si>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</si>
  <si>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ЭЭ</t>
  </si>
  <si>
    <t>Перечень потребителей 1-й и 2-й категорий надежности, в отношении которых произошло частичное ограничение режима потребления ЭЭ</t>
  </si>
  <si>
    <t>Количество точек поставки потребителей услуг сетевой организации, _x000D_
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</si>
  <si>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ЭЭ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</si>
  <si>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</si>
  <si>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технической причины повреждения оборудования</t>
  </si>
  <si>
    <t>Комментарий</t>
  </si>
  <si>
    <t>11</t>
  </si>
  <si>
    <t>12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</si>
  <si>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</si>
  <si>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</si>
  <si>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</si>
  <si>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</si>
  <si>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 категория</t>
  </si>
  <si>
    <t>2 категория</t>
  </si>
  <si>
    <t>3 категория</t>
  </si>
  <si>
    <t>ВН (110 кВ и выше)</t>
  </si>
  <si>
    <t>СН1 (35 кВ)</t>
  </si>
  <si>
    <t>СН2 (6 - 20 кВ)</t>
  </si>
  <si>
    <t>НН (0,22 - 1 кВ)</t>
  </si>
  <si>
    <t>28</t>
  </si>
  <si>
    <t>1.0</t>
  </si>
  <si>
    <t>КЛ-10кВ от ТП-4275 до ТП-4277</t>
  </si>
  <si>
    <t>10 (10.5)</t>
  </si>
  <si>
    <t>08, 30, 2022.01.14</t>
  </si>
  <si>
    <t>11, 30, 2022.01.14</t>
  </si>
  <si>
    <t>ТП, КЛ</t>
  </si>
  <si>
    <t>14.10.2022</t>
  </si>
  <si>
    <t>4.21</t>
  </si>
  <si>
    <t>КЛ-10кВ от РП-712 до ТП-3549</t>
  </si>
  <si>
    <t>01, 25, 2022.02.10</t>
  </si>
  <si>
    <t>04, 27, 2022.02.10</t>
  </si>
  <si>
    <t xml:space="preserve"> </t>
  </si>
  <si>
    <t>10.02.2022</t>
  </si>
  <si>
    <t>4.12</t>
  </si>
  <si>
    <t>ВЛИ-0,4кВ от ТП-8312 оп.4/1 в сторону чжд,  ул. 4-я Крайняя, 28</t>
  </si>
  <si>
    <t>0.38</t>
  </si>
  <si>
    <t>13, 42, 2022.03.10</t>
  </si>
  <si>
    <t>14, 12, 2022.03.10</t>
  </si>
  <si>
    <t>10.03.2022</t>
  </si>
  <si>
    <t>4.13</t>
  </si>
  <si>
    <t>1.4</t>
  </si>
  <si>
    <t>ф.1125 ПС «Левобережная»; ф.3520 ПС «Весенняя»</t>
  </si>
  <si>
    <t>07, 30, 2022.03.24</t>
  </si>
  <si>
    <t>12, 15, 2022.03.24</t>
  </si>
  <si>
    <t>24.03.2022</t>
  </si>
  <si>
    <t>4.11</t>
  </si>
  <si>
    <t>1.5</t>
  </si>
  <si>
    <t>КЛ-10кВ ф.1125 ПС «Левобережная»; ф.3520 ПС «Весенняя»</t>
  </si>
  <si>
    <t>14, 15, 2022.04.01</t>
  </si>
  <si>
    <t>16, 10, 2022.04.01</t>
  </si>
  <si>
    <t>01.04.2022</t>
  </si>
  <si>
    <t>1.6</t>
  </si>
  <si>
    <t>КЛ-0,4кВ от ТП-2229 до мкд,  ул.Успешная, 3/1</t>
  </si>
  <si>
    <t>15, 00, 2022.04.11</t>
  </si>
  <si>
    <t>16, 00, 2022.04.11</t>
  </si>
  <si>
    <t>1.7</t>
  </si>
  <si>
    <t>КЛ-10кВ от ТП-8134 до ТП-8312</t>
  </si>
  <si>
    <t>12, 03, 2022.05.11</t>
  </si>
  <si>
    <t>16, 01, 2022.05.11</t>
  </si>
  <si>
    <t>11.05.2022</t>
  </si>
  <si>
    <t>1.8</t>
  </si>
  <si>
    <t>ПС 35/6кВ "Мясокомбинат Омский" РУ-6кВ яч. №12</t>
  </si>
  <si>
    <t>6 (6.3)</t>
  </si>
  <si>
    <t>07, 30, 2022.06.08</t>
  </si>
  <si>
    <t>14, 59, 2022.06.08</t>
  </si>
  <si>
    <t>08.06.2022</t>
  </si>
  <si>
    <t>4.17</t>
  </si>
  <si>
    <t>1.9</t>
  </si>
  <si>
    <t>КЛ-10кВ от ТП-8213 до ТП-8312</t>
  </si>
  <si>
    <t>21, 01, 2022.06.16</t>
  </si>
  <si>
    <t>08, 53, 2022.06.17</t>
  </si>
  <si>
    <t>17.06.2022</t>
  </si>
  <si>
    <t>1.10</t>
  </si>
  <si>
    <t>ЦРП, яч 21</t>
  </si>
  <si>
    <t>03, 00, 2022.06.17</t>
  </si>
  <si>
    <t>15, 10, 2022.06.18</t>
  </si>
  <si>
    <t>18.06.2022</t>
  </si>
  <si>
    <t>1.11</t>
  </si>
  <si>
    <t>03, 00, 2022.07.13</t>
  </si>
  <si>
    <t>04, 50, 2022.07.13</t>
  </si>
  <si>
    <t>13.07.2022</t>
  </si>
  <si>
    <t>1.12</t>
  </si>
  <si>
    <t>КЛ-6кВ от ПС "МО" яч. 12</t>
  </si>
  <si>
    <t>15, 32, 2022.07.28</t>
  </si>
  <si>
    <t>17, 30, 2022.08.03</t>
  </si>
  <si>
    <t>28.07.2022</t>
  </si>
  <si>
    <t>1.13</t>
  </si>
  <si>
    <t>фид. 11ША</t>
  </si>
  <si>
    <t>17, 36, 2022.07.28</t>
  </si>
  <si>
    <t>15, 50, 2022.07.29</t>
  </si>
  <si>
    <t>1.14</t>
  </si>
  <si>
    <t>КЛ-6кВ от ПС "МО" яч. 5</t>
  </si>
  <si>
    <t>17, 42, 2022.07.28</t>
  </si>
  <si>
    <t>15, 50, 2022.07.30</t>
  </si>
  <si>
    <t>1.15</t>
  </si>
  <si>
    <t>ф. 80ША</t>
  </si>
  <si>
    <t>11, 50, 2022.08.02</t>
  </si>
  <si>
    <t>15, 36, 2022.08.02</t>
  </si>
  <si>
    <t>2022-08-02</t>
  </si>
  <si>
    <t>1.16</t>
  </si>
  <si>
    <t>ТП-112</t>
  </si>
  <si>
    <t>14, 25, 2022.08.25</t>
  </si>
  <si>
    <t>15, 05, 2022.08.26</t>
  </si>
  <si>
    <t>25.08.2022</t>
  </si>
  <si>
    <t>4.7</t>
  </si>
  <si>
    <t>1.17</t>
  </si>
  <si>
    <t>07, 01, 2022.08.26</t>
  </si>
  <si>
    <t>08, 05, 2022.08.26</t>
  </si>
  <si>
    <t>26.08.2022</t>
  </si>
  <si>
    <t>1.18</t>
  </si>
  <si>
    <t>ТП-8458</t>
  </si>
  <si>
    <t>07, 50, 2022.09.01</t>
  </si>
  <si>
    <t>10, 18, 2022.09.01</t>
  </si>
  <si>
    <t>01.09.2022</t>
  </si>
  <si>
    <t>1.19</t>
  </si>
  <si>
    <t>КЛ-6кВ фид. 11Ша</t>
  </si>
  <si>
    <t>08, 55, 2022.09.10</t>
  </si>
  <si>
    <t>12, 44, 2022.09.10</t>
  </si>
  <si>
    <t>10.09.2022</t>
  </si>
  <si>
    <t>1.20</t>
  </si>
  <si>
    <t>ПС 35/6кВ "Мясокомбинат Омский" 1СШ-6кВ</t>
  </si>
  <si>
    <t>11, 35, 2022.09.14</t>
  </si>
  <si>
    <t>12, 20, 2022.09.14</t>
  </si>
  <si>
    <t>14.09.2022</t>
  </si>
  <si>
    <t>4.14</t>
  </si>
  <si>
    <t>1.21</t>
  </si>
  <si>
    <t>ПС 35/6кВ "Мясокомбинат Омский"</t>
  </si>
  <si>
    <t>10, 00, 2022.09.18</t>
  </si>
  <si>
    <t>12, 30, 2022.09.18</t>
  </si>
  <si>
    <t>18.09.2022</t>
  </si>
  <si>
    <t>1.22</t>
  </si>
  <si>
    <t>20, 30, 2022.09.19</t>
  </si>
  <si>
    <t>21, 10, 2022.09.19</t>
  </si>
  <si>
    <t>19.09.2022</t>
  </si>
  <si>
    <t>1.23</t>
  </si>
  <si>
    <t>23, 53, 2022.10.10</t>
  </si>
  <si>
    <t>01, 25, 2022.10.11</t>
  </si>
  <si>
    <t>10.10.2022</t>
  </si>
  <si>
    <t>1.24</t>
  </si>
  <si>
    <t>КВЛ-10кВ от ОП-1237 ТП-4428</t>
  </si>
  <si>
    <t>19, 05, 2022.12.07</t>
  </si>
  <si>
    <t>23, 48, 2022.12.07</t>
  </si>
  <si>
    <t>07.12.2022</t>
  </si>
  <si>
    <t>1.25</t>
  </si>
  <si>
    <t>КЛ-10кВ от ТП-8134, ТП-8213 до ТП-8312</t>
  </si>
  <si>
    <t>15, 40, 2022.12.17</t>
  </si>
  <si>
    <t>16, 30, 2022.12.17</t>
  </si>
  <si>
    <t>12.12.2022</t>
  </si>
  <si>
    <t>1.26</t>
  </si>
  <si>
    <t>ТП-4278</t>
  </si>
  <si>
    <t>09, 45, 2022.12.27</t>
  </si>
  <si>
    <t>11, 15, 2022.12.27</t>
  </si>
  <si>
    <t>Добавить строку</t>
  </si>
  <si>
    <t>ИТОГО по всем прекращениям передачи электрической энергии за отчетный период:</t>
  </si>
  <si>
    <t>И</t>
  </si>
  <si>
    <t>по ограничениям, связанным с проведением ремонтных работ</t>
  </si>
  <si>
    <t>по аварийным ограничениям</t>
  </si>
  <si>
    <t>по внерегламентным отключениям</t>
  </si>
  <si>
    <t>по внерегламентным отключениям, учитываемым при расчете индикативных показателей надежности</t>
  </si>
  <si>
    <t>В1</t>
  </si>
  <si>
    <t>Форма 8.1.1. Ведомость присоединений потребителей услуг сетевой организации. (Свод)</t>
  </si>
  <si>
    <t>№ _x000D_
п/п</t>
  </si>
  <si>
    <t>Месяц</t>
  </si>
  <si>
    <t>Помесячная расшифровка по форме 8.1.1 Приказ Министерства энергетики РФ от 29 ноября 2016 г. N 1256</t>
  </si>
  <si>
    <t xml:space="preserve">Примечание </t>
  </si>
  <si>
    <t>Количество точек поставки потребителей услуг сетевой организации, присоединенных к первичному уровню присоединения, шт</t>
  </si>
  <si>
    <t>в разделении уровней напряжения ЭПУ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</si>
  <si>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</si>
  <si>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</si>
  <si>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</si>
  <si>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НН (ниже 1 кВ)</t>
  </si>
  <si>
    <t>Итого:</t>
  </si>
  <si>
    <r>
      <t xml:space="preserve">В столбце «Помесячная расшифровка по форме 8.1.1 Приказ Министерства энергетики РФ от 29 ноября 2016 г. N 1256» должна быть размещена ссылка на размещённый в хранилище документов заполненный шаблон с помесячной детализацией. В хранилище документов необходимо разместить Ведомость присоединений потребителей услуг, по форме 8.1.1. за каждый месяц отчетного периода._x000D_
_x000D_
</t>
    </r>
    <r>
      <rPr>
        <b/>
        <sz val="10"/>
        <color theme="9" tint="-0.249977111117893"/>
        <rFont val="Tahoma"/>
        <family val="2"/>
        <charset val="204"/>
      </rPr>
      <t>Двойной клик по этой ячейке откроет диалог скачивания шаблона для помесячной расшифровки точек поставки.</t>
    </r>
  </si>
  <si>
    <t>Январь</t>
  </si>
  <si>
    <t>https://new-tarif.omskportal.ru/lk/ru_6_55/extensions/filestorage/api/Filestorage/GetFile?fileGuid=65146951-0b78-43dc-a371-62a2f1ddcb43</t>
  </si>
  <si>
    <t>Февраль</t>
  </si>
  <si>
    <t>https://new-tarif.omskportal.ru/lk/ru_6_55/extensions/filestorage/api/Filestorage/GetFile?fileGuid=d36391a0-5b62-4882-8806-e4cd3cbebd8d</t>
  </si>
  <si>
    <t>Март</t>
  </si>
  <si>
    <t>https://new-tarif.omskportal.ru/lk/ru_6_55/extensions/filestorage/api/Filestorage/GetFile?fileGuid=f9fce664-8579-4153-9ceb-e0e1421f7c17</t>
  </si>
  <si>
    <t>Апрель</t>
  </si>
  <si>
    <t>https://new-tarif.omskportal.ru/lk/ru_6_55/extensions/filestorage/api/Filestorage/GetFile?fileGuid=7ec6d432-e22d-42d0-86c8-523638c2370a</t>
  </si>
  <si>
    <t>Май</t>
  </si>
  <si>
    <t>https://new-tarif.omskportal.ru/lk/ru_6_55/extensions/filestorage/api/Filestorage/GetFile?fileGuid=ace3a4ef-cee8-45d1-b1b1-33cedb85fa25</t>
  </si>
  <si>
    <t>Июнь</t>
  </si>
  <si>
    <t>https://new-tarif.omskportal.ru/lk/ru_6_55/extensions/filestorage/api/Filestorage/GetFile?fileGuid=a94c3eba-e320-4914-993b-403d33ea2abb</t>
  </si>
  <si>
    <t>Июль</t>
  </si>
  <si>
    <t>https://new-tarif.omskportal.ru/lk/ru_6_55/extensions/filestorage/api/Filestorage/GetFile?fileGuid=6a031761-94f3-4af0-bd58-a3a2d97fa61d</t>
  </si>
  <si>
    <t>8</t>
  </si>
  <si>
    <t>Август</t>
  </si>
  <si>
    <t>https://new-tarif.omskportal.ru/lk/ru_6_55/extensions/filestorage/api/Filestorage/GetFile?fileGuid=341680c6-f9ec-43ee-ad9e-e777d17a6dc7</t>
  </si>
  <si>
    <t>9</t>
  </si>
  <si>
    <t>Сентябрь</t>
  </si>
  <si>
    <t>https://new-tarif.omskportal.ru/lk/ru_6_55/extensions/filestorage/api/Filestorage/GetFile?fileGuid=b1f6b89e-99ff-40ac-a75d-f96d228185ba</t>
  </si>
  <si>
    <t>10</t>
  </si>
  <si>
    <t>Октябрь</t>
  </si>
  <si>
    <t>https://new-tarif.omskportal.ru/lk/ru_6_55/extensions/filestorage/api/Filestorage/GetFile?fileGuid=f0cc51ee-8ef6-406a-ae3d-767f0ab79130</t>
  </si>
  <si>
    <t>Ноябрь</t>
  </si>
  <si>
    <t>https://new-tarif.omskportal.ru/lk/ru_6_55/extensions/filestorage/api/Filestorage/GetFile?fileGuid=890ec062-179c-47a2-bf7e-1f35332d911a</t>
  </si>
  <si>
    <t>Декабрь</t>
  </si>
  <si>
    <t>https://new-tarif.omskportal.ru/lk/ru_6_55/extensions/filestorage/api/Filestorage/GetFile?fileGuid=990f2abf-0e8f-48b0-86e7-b2f88e62276e</t>
  </si>
  <si>
    <t>Форма 8.3. Расчет индикативного показателя уровня надежности оказываемых услуг для территориальных сетевых организаций,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</si>
  <si>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</si>
  <si>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</si>
  <si>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</si>
  <si>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</si>
  <si>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), шт.</t>
    </r>
  </si>
  <si>
    <t>Наименование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</si>
  <si>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</si>
  <si>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</si>
  <si>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</si>
  <si>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</si>
  <si>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</si>
  <si>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</si>
  <si>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</si>
  <si>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</si>
  <si>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Показатель уровня качества осуществляемого технологического присоединения к сети,  Птпр</t>
  </si>
  <si>
    <t>Птпр</t>
  </si>
  <si>
    <t>Форма 4.1. Показатели уровня надежности и уровня качества оказываемых услуг _x000D_
сетевой организации (для долгосрочных периодов регулирования, начавшихся с 2018 года)</t>
  </si>
  <si>
    <t>Показатель</t>
  </si>
  <si>
    <t>N формулы (пункта) МУ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</si>
  <si>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9"/>
        <rFont val="Tahoma"/>
        <family val="2"/>
        <charset val="204"/>
      </rPr>
      <t>п</t>
    </r>
    <r>
      <rPr>
        <sz val="9"/>
        <rFont val="Tahoma"/>
        <family val="2"/>
        <charset val="204"/>
      </rPr>
      <t>)</t>
    </r>
  </si>
  <si>
    <r>
      <t>Объем недоотпущенной электрической энергии (П</t>
    </r>
    <r>
      <rPr>
        <vertAlign val="subscript"/>
        <sz val="9"/>
        <rFont val="Tahoma"/>
        <family val="2"/>
        <charset val="204"/>
      </rPr>
      <t>ens</t>
    </r>
    <r>
      <rPr>
        <sz val="9"/>
        <rFont val="Tahoma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</si>
  <si>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</si>
  <si>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</si>
  <si>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9"/>
        <rFont val="Tahoma"/>
        <family val="2"/>
        <charset val="204"/>
      </rPr>
      <t>тпр</t>
    </r>
    <r>
      <rPr>
        <sz val="9"/>
        <rFont val="Tahoma"/>
        <family val="2"/>
        <charset val="204"/>
      </rPr>
      <t>)</t>
    </r>
  </si>
  <si>
    <t>7 или 12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</si>
  <si>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9"/>
        <rFont val="Tahoma"/>
        <family val="2"/>
        <charset val="204"/>
      </rPr>
      <t>тсо</t>
    </r>
    <r>
      <rPr>
        <sz val="9"/>
        <rFont val="Tahoma"/>
        <family val="2"/>
        <charset val="204"/>
      </rPr>
      <t>)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</si>
  <si>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п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п</t>
    </r>
  </si>
  <si>
    <t>Пункт 4.1 МУ</t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</si>
  <si>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тпр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тпр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</si>
  <si>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тсо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тсо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</si>
  <si>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ens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ens</t>
    </r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</si>
  <si>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saidi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saidi</t>
    </r>
  </si>
  <si>
    <t>Пункт 4.2 МУ</t>
  </si>
  <si>
    <r>
      <t>Плановое значение показателя П</t>
    </r>
    <r>
      <rPr>
        <vertAlign val="subscript"/>
        <sz val="9"/>
        <rFont val="Tahoma"/>
        <family val="2"/>
        <charset val="204"/>
      </rPr>
      <t>saifi</t>
    </r>
    <r>
      <rPr>
        <sz val="9"/>
        <rFont val="Tahoma"/>
        <family val="2"/>
        <charset val="204"/>
      </rPr>
      <t>, П</t>
    </r>
    <r>
      <rPr>
        <vertAlign val="superscript"/>
        <sz val="9"/>
        <rFont val="Tahoma"/>
        <family val="2"/>
        <charset val="204"/>
      </rPr>
      <t>пл</t>
    </r>
    <r>
      <rPr>
        <vertAlign val="subscript"/>
        <sz val="9"/>
        <rFont val="Tahoma"/>
        <family val="2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</si>
  <si>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над</t>
    </r>
  </si>
  <si>
    <t>Пункт 5 МУ</t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</si>
  <si>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</si>
  <si>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</si>
  <si>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</t>
    </r>
    <r>
      <rPr>
        <sz val="9"/>
        <rFont val="Tahoma"/>
        <family val="2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</si>
  <si>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кач1</t>
    </r>
    <r>
      <rPr>
        <sz val="9"/>
        <rFont val="Tahoma"/>
        <family val="2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</si>
  <si>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кач2</t>
    </r>
    <r>
      <rPr>
        <sz val="9"/>
        <rFont val="Tahoma"/>
        <family val="2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</si>
  <si>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9"/>
        <rFont val="Tahoma"/>
        <family val="2"/>
        <charset val="204"/>
      </rPr>
      <t>кач3</t>
    </r>
    <r>
      <rPr>
        <sz val="9"/>
        <rFont val="Tahoma"/>
        <family val="2"/>
        <charset val="204"/>
      </rPr>
      <t xml:space="preserve"> (для территориальной сетевой организации)</t>
    </r>
  </si>
  <si>
    <t>СПРАВОЧНО</t>
  </si>
  <si>
    <t>Коэффициент допустимого отклонения K1m:</t>
  </si>
  <si>
    <t>Коэффициент допустимого отклонения Km:</t>
  </si>
  <si>
    <t>Отчет предоставляется в рамках первого долгосрочного периода регулирования:</t>
  </si>
  <si>
    <t xml:space="preserve">Количество лет в текущем долгосрочном периоде </t>
  </si>
  <si>
    <t>Коэффициент допустимого отклонения Птпр в периоде t-1:</t>
  </si>
  <si>
    <t>Плановый показатель Птпр</t>
  </si>
  <si>
    <t>Фактический показатель Птпр</t>
  </si>
  <si>
    <t>Достижение показателя Птпр в периоде t-1 (да-1;нет-0)</t>
  </si>
  <si>
    <t>Коэффициент допустимого отклонения Пsaidi в периоде t-1:</t>
  </si>
  <si>
    <t>Плановый показатель Пsaidi</t>
  </si>
  <si>
    <t>Фактический показатель Пsaidi</t>
  </si>
  <si>
    <t>Достижение показателя Пsaidi в периоде t-1 (%)</t>
  </si>
  <si>
    <t>Коэффициент допустимого отклонения Пsaifi в периоде t-1:</t>
  </si>
  <si>
    <t>Плановый показатель Пsaifi</t>
  </si>
  <si>
    <t>Фактический показатель Пsaifi</t>
  </si>
  <si>
    <t>Достижение показателя Пsaifi в периоде t-1 (%)</t>
  </si>
  <si>
    <t>Коэффициент допустимого отклонения для Ккач1:</t>
  </si>
  <si>
    <t>Форма 4.2. Расчет обобщенного показателя уровня надежности и качества _x000D_
оказываемых услуг (для долгосрочных периодов регулирования, начавшихся с 2018 года)</t>
  </si>
  <si>
    <t>Id ТСО</t>
  </si>
  <si>
    <t>ТСО</t>
  </si>
  <si>
    <t>Нарушения</t>
  </si>
  <si>
    <t>Понижающий коэффициент, корректирующий необходимую валовую выручку по данным МЭ</t>
  </si>
  <si>
    <t>Нарушения п. 14 (2) а) ПП РФ 1220</t>
  </si>
  <si>
    <t>Нарушения п. 14 (2) б) ПП РФ 1220</t>
  </si>
  <si>
    <t>Нарушения п. 14 (2) в) ПП РФ 1220</t>
  </si>
  <si>
    <t>Нарушения п. 14 (2) г) ПП РФ 1220</t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</si>
  <si>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</si>
  <si>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кач1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</si>
  <si>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кач2</t>
    </r>
  </si>
  <si>
    <r>
      <t>Оценка достижения показателя уровня надежности оказываемых услуг, К</t>
    </r>
    <r>
      <rPr>
        <vertAlign val="subscript"/>
        <sz val="9"/>
        <rFont val="Tahoma"/>
        <family val="2"/>
        <charset val="204"/>
      </rPr>
      <t>кач3</t>
    </r>
  </si>
  <si>
    <r>
      <t>Обобщенный показатель уровня надежности и качества оказываемых услуг, К</t>
    </r>
    <r>
      <rPr>
        <vertAlign val="subscript"/>
        <sz val="9"/>
        <rFont val="Tahoma"/>
        <family val="2"/>
        <charset val="204"/>
      </rPr>
      <t>об</t>
    </r>
  </si>
  <si>
    <t>Максимальный процент корректировки</t>
  </si>
  <si>
    <t xml:space="preserve">Понижающий (повышающий) коэффициент, корректирующий необходимую валовую выручку сетевой организации с учетом надежности и качества производимых (реализуемых) товаров (услуг) </t>
  </si>
  <si>
    <t>Данные об экономических и технических характеристиках и (или) условиях деятельности территориальных сетевых организаций</t>
  </si>
  <si>
    <t>Характеристики и (или) условия деятельности сетевой организации</t>
  </si>
  <si>
    <t xml:space="preserve">Значение характеристики </t>
  </si>
  <si>
    <t xml:space="preserve"> подтверждающих документов (в том числе внутренних документов сетевой организации)</t>
  </si>
  <si>
    <t xml:space="preserve">Наименование </t>
  </si>
  <si>
    <t>Реквизиты</t>
  </si>
  <si>
    <t>Протяженность линий электропередачи в одноцепном выражении (ЛЭП), км</t>
  </si>
  <si>
    <t>Договоры купли-продажи, аренды, безвозмездного пользования</t>
  </si>
  <si>
    <t>Соглашения о пролонгации на 2022 год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</si>
  <si>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</si>
  <si>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</si>
  <si>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Максимальное за год число точек поставки, шт.</t>
  </si>
  <si>
    <t>Договор возмездного оказания услуг по передаче ЭЭ</t>
  </si>
  <si>
    <t>№30.116.097.20 от 05.02.2020</t>
  </si>
  <si>
    <t>Число разъединителей и выключателей, шт.</t>
  </si>
  <si>
    <t>Средняя летняя температура, °C</t>
  </si>
  <si>
    <t>Открытый интернет-источник</t>
  </si>
  <si>
    <t>http://omsk-meteo.ru/index.php/ru/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</si>
  <si>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</si>
  <si>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</si>
  <si>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Форма 9.1. Базовые значения показателей надежности,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(Пsaidi)</t>
  </si>
  <si>
    <t>Группы территориальных сетевых организаций</t>
  </si>
  <si>
    <t>итог</t>
  </si>
  <si>
    <t>ЛЭП</t>
  </si>
  <si>
    <t>Доля</t>
  </si>
  <si>
    <t>T</t>
  </si>
  <si>
    <t>Плотность</t>
  </si>
  <si>
    <t>Базовые значения показателей надежности</t>
  </si>
  <si>
    <t>Максимальная динамика улучшения плановых показателей надежности</t>
  </si>
  <si>
    <t>Значения коэффициентов допустимых отклонений фактических значений показателей надежности от плановых</t>
  </si>
  <si>
    <t>ЛЭП 7 500 км и более, доля КЛ менее 10%, средняя летняя температура 20°С и более</t>
  </si>
  <si>
    <t>-</t>
  </si>
  <si>
    <t>ЛЭП 7 500 км и более, доля КЛ менее 10%, средняя летняя температура менее 20°С, число разъединителей и выключателей менее 25 000 штук</t>
  </si>
  <si>
    <t>ЛЭП 7 500 км и более, доля КЛ менее 10%, средняя летняя температура менее 20°С, число разъединителей и выключателей 25 000 шт. и более</t>
  </si>
  <si>
    <t>ЛЭП 7 500 км и более, доля КЛ 10% и более</t>
  </si>
  <si>
    <t>ЛЭП 10 км и более и менее 7500 км, доля КЛ 30% и более</t>
  </si>
  <si>
    <t>ЛЭП 10 км и более и менее 7500 км, доля КЛ менее 30%, плотность менее 20 штук/км, число точек поставки менее 10 000 штук</t>
  </si>
  <si>
    <t>ЛЭП 10 км и более и менее 7500 км, доля КЛ менее 30%, плотность менее 20 штук/км, число точек поставки 10 000 штук и более</t>
  </si>
  <si>
    <t>ЛЭП 10 км и более и менее 7500 км, доля КЛ менее 30%, плотность 20 штук/км и более</t>
  </si>
  <si>
    <t>ЛЭП менее 10 км</t>
  </si>
  <si>
    <t>Форма 9.2. Базовые значения показателей надежности,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(Пsaifi)</t>
  </si>
  <si>
    <t>ЛЭП 7 500 км и более, доля КЛ менее 10%</t>
  </si>
  <si>
    <t>ЛЭП 3 000 км и более и менее 7 500 км, доля КЛ менее 15%</t>
  </si>
  <si>
    <t>ЛЭП 3 000 км и более и менее 7 500 км, доля КЛ 15% и более</t>
  </si>
  <si>
    <t>ЛЭП 100 км и более и менее 3 000 км, доля КЛ 35% и более</t>
  </si>
  <si>
    <t>ЛЭП 100 км и более и менее 3 000 км, доля КЛ менее 35%</t>
  </si>
  <si>
    <t>ЛЭП от 10 км и более и менее 100 км</t>
  </si>
  <si>
    <t>Ссылка на документ</t>
  </si>
  <si>
    <t>Количество листов (комментарий)</t>
  </si>
  <si>
    <t>Копии оперативных журналов</t>
  </si>
  <si>
    <t>Реестр потребителей услуг к электрической сети электросетевой организации с указанием количества точек присоединения потребителей услуг, реквизитов договоров</t>
  </si>
  <si>
    <t>Однолинейные схемы электрических сетей с указанием границ балансовой принадлежности и точек поставки электрической энергии</t>
  </si>
  <si>
    <t>Договоры оказания услуг по передаче электрической энергии.</t>
  </si>
  <si>
    <t>План графиков ремонтных работ, срочные аварийные работы подтвердить уведомлениями потребителей (для подтверждения перерывов электроснабжения потребителей)</t>
  </si>
  <si>
    <t>Акты расследования причин аварии в соответствии с формой приказа Министерства энергетики Российской Федерации от 02.03.2010 № 90</t>
  </si>
  <si>
    <t>Пояснительная записка</t>
  </si>
  <si>
    <t>Добавить документ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</si>
</sst>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7" formatCode="_(&quot;$&quot;* #,##0.00_);_(&quot;$&quot;* \(#,##0.00\);_(&quot;$&quot;* &quot;-&quot;??_);_(@_)"/>
    <numFmt numFmtId="168" formatCode="#,##0.0000"/>
    <numFmt numFmtId="169" formatCode="0.0000"/>
    <numFmt numFmtId="170" formatCode="#,##0.0"/>
    <numFmt numFmtId="171" formatCode="#,##0.000"/>
    <numFmt numFmtId="172" formatCode="#,##0.00000"/>
    <numFmt numFmtId="173" formatCode="0.0"/>
  </numFmts>
  <fonts count="39" x14ac:knownFonts="1">
    <font>
      <sz val="11"/>
      <color rgb="FF000000"/>
      <name val="Calibri"/>
      <scheme val="minor"/>
    </font>
    <font>
      <sz val="9"/>
      <name val="Tahoma"/>
    </font>
    <font>
      <b/>
      <sz val="9"/>
      <name val="Tahoma"/>
    </font>
    <font>
      <u/>
      <sz val="10"/>
      <color theme="0" tint="-4.9989318521683403E-2"/>
      <name val="Tahoma"/>
    </font>
    <font>
      <sz val="10"/>
      <name val="Tahoma"/>
    </font>
    <font>
      <u/>
      <sz val="10"/>
      <color rgb="FF0000FF"/>
      <name val="Tahoma"/>
    </font>
    <font>
      <b/>
      <sz val="10"/>
      <name val="Tahoma"/>
    </font>
    <font>
      <sz val="11"/>
      <color rgb="FFFFFFFF"/>
      <name val="Tahoma"/>
    </font>
    <font>
      <sz val="11"/>
      <color rgb="FF000000"/>
      <name val="Tahoma"/>
    </font>
    <font>
      <sz val="9"/>
      <color rgb="FF000000"/>
      <name val="Tahoma"/>
    </font>
    <font>
      <sz val="10"/>
      <color rgb="FF000000"/>
      <name val="Tahoma"/>
    </font>
    <font>
      <b/>
      <sz val="10"/>
      <color rgb="FF000000"/>
      <name val="Tahoma"/>
    </font>
    <font>
      <sz val="9"/>
      <color rgb="FFFFFFFF"/>
      <name val="Tahoma"/>
    </font>
    <font>
      <sz val="9"/>
      <color rgb="FFFF0000"/>
      <name val="Tahoma"/>
    </font>
    <font>
      <sz val="11"/>
      <color rgb="FF000000"/>
      <name val="Calibri"/>
    </font>
    <font>
      <sz val="9"/>
      <color theme="1"/>
      <name val="Tahoma"/>
    </font>
    <font>
      <sz val="8"/>
      <color rgb="FFC0C0C0"/>
      <name val="Tahoma"/>
    </font>
    <font>
      <b/>
      <sz val="9"/>
      <color rgb="FFC0C0C0"/>
      <name val="Tahoma"/>
    </font>
    <font>
      <sz val="11"/>
      <color indexed="0"/>
      <name val="Calibri"/>
      <family val="2"/>
    </font>
    <font>
      <sz val="1"/>
      <color theme="0"/>
      <name val="Tahoma"/>
    </font>
    <font>
      <sz val="9"/>
      <color rgb="FF333399"/>
      <name val="Tahoma"/>
    </font>
    <font>
      <i/>
      <sz val="9"/>
      <name val="Tahoma"/>
    </font>
    <font>
      <sz val="9"/>
      <color rgb="FF808080"/>
      <name val="Tahoma"/>
    </font>
    <font>
      <b/>
      <sz val="10"/>
      <color rgb="FFFF0000"/>
      <name val="Arial Cyr"/>
    </font>
    <font>
      <b/>
      <sz val="1"/>
      <color theme="0"/>
      <name val="Tahoma"/>
    </font>
    <font>
      <sz val="14"/>
      <color rgb="FFBCBCBC"/>
      <name val="Calibri"/>
    </font>
    <font>
      <sz val="9"/>
      <color theme="0"/>
      <name val="Tahoma"/>
    </font>
    <font>
      <sz val="8"/>
      <name val="Tahoma"/>
    </font>
    <font>
      <sz val="10"/>
      <name val="Arial Cyr"/>
    </font>
    <font>
      <sz val="9"/>
      <color theme="0" tint="-0.34998626667073579"/>
      <name val="Tahoma"/>
    </font>
    <font>
      <sz val="8"/>
      <color rgb="FF333333"/>
      <name val="Arial"/>
    </font>
    <font>
      <sz val="11"/>
      <name val="Calibri"/>
      <scheme val="minor"/>
    </font>
    <font>
      <sz val="11"/>
      <color indexed="0"/>
      <name val="Calibri"/>
      <family val="2"/>
      <scheme val="minor"/>
    </font>
    <font>
      <u/>
      <sz val="11"/>
      <color theme="10"/>
      <name val="Calibri"/>
    </font>
    <font>
      <sz val="9"/>
      <name val="Tahoma"/>
      <family val="2"/>
      <charset val="204"/>
    </font>
    <font>
      <b/>
      <sz val="10"/>
      <color theme="9" tint="-0.249977111117893"/>
      <name val="Tahoma"/>
      <family val="2"/>
      <charset val="204"/>
    </font>
    <font>
      <vertAlign val="subscript"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BCBCBC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lightDown">
        <fgColor rgb="FFD8D8D8"/>
        <bgColor rgb="FFFFFFFF"/>
      </patternFill>
    </fill>
    <fill>
      <patternFill patternType="solid">
        <fgColor theme="0"/>
      </patternFill>
    </fill>
    <fill>
      <patternFill patternType="lightDown">
        <fgColor rgb="FFFFFFFF"/>
        <bgColor rgb="FFF2F2F2"/>
      </patternFill>
    </fill>
    <fill>
      <patternFill patternType="solid">
        <fgColor rgb="FFFF8080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theme="0" tint="-0.249977111117893"/>
        <bgColor indexed="65"/>
      </patternFill>
    </fill>
  </fills>
  <borders count="3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CBCBC"/>
      </left>
      <right/>
      <top/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rgb="FFC0C0C0"/>
      </bottom>
      <diagonal/>
    </border>
    <border>
      <left/>
      <right/>
      <top style="thin">
        <color theme="0" tint="-0.249977111117893"/>
      </top>
      <bottom style="thin">
        <color rgb="FFC0C0C0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318">
    <xf numFmtId="0" fontId="0" fillId="0" borderId="0" applyFill="0" applyBorder="0">
      <alignment vertical="top"/>
    </xf>
    <xf numFmtId="49" fontId="1" fillId="0" borderId="1" applyFill="0">
      <alignment horizontal="left" vertical="center" wrapText="1" indent="1"/>
    </xf>
    <xf numFmtId="49" fontId="1" fillId="0" borderId="2" applyFill="0">
      <alignment horizontal="center" vertical="center" wrapText="1"/>
    </xf>
    <xf numFmtId="49" fontId="2" fillId="0" borderId="1" applyFill="0">
      <alignment horizontal="left" vertical="center" wrapText="1" indent="1"/>
    </xf>
    <xf numFmtId="49" fontId="2" fillId="0" borderId="1" applyFill="0">
      <alignment horizontal="center" vertical="center" wrapText="1"/>
    </xf>
    <xf numFmtId="0" fontId="3" fillId="2" borderId="3">
      <alignment horizontal="center" vertical="center"/>
    </xf>
    <xf numFmtId="0" fontId="4" fillId="2" borderId="3">
      <alignment vertical="center"/>
    </xf>
    <xf numFmtId="49" fontId="4" fillId="2" borderId="3">
      <alignment vertical="center"/>
    </xf>
    <xf numFmtId="0" fontId="5" fillId="2" borderId="3">
      <alignment horizontal="center" vertical="center"/>
    </xf>
    <xf numFmtId="0" fontId="1" fillId="0" borderId="0" applyFill="0" applyBorder="0">
      <alignment horizontal="center" vertical="center" wrapText="1"/>
    </xf>
    <xf numFmtId="0" fontId="6" fillId="0" borderId="0" applyFill="0" applyBorder="0">
      <alignment vertical="center" wrapText="1"/>
    </xf>
    <xf numFmtId="49" fontId="7" fillId="0" borderId="0" applyFill="0" applyBorder="0">
      <alignment wrapText="1"/>
    </xf>
    <xf numFmtId="0" fontId="6" fillId="0" borderId="0" applyFill="0" applyBorder="0">
      <alignment vertical="center" wrapText="1"/>
    </xf>
    <xf numFmtId="0" fontId="6" fillId="0" borderId="0" applyFill="0" applyBorder="0">
      <alignment vertical="center"/>
    </xf>
    <xf numFmtId="0" fontId="4" fillId="3" borderId="4">
      <alignment horizontal="center" vertical="center" wrapText="1"/>
    </xf>
    <xf numFmtId="0" fontId="4" fillId="3" borderId="5">
      <alignment horizontal="center" vertical="center" wrapText="1"/>
    </xf>
    <xf numFmtId="0" fontId="4" fillId="3" borderId="6">
      <alignment horizontal="center" vertical="center" wrapText="1"/>
    </xf>
    <xf numFmtId="0" fontId="4" fillId="4" borderId="7">
      <alignment horizontal="right" vertical="center" wrapText="1" indent="1"/>
    </xf>
    <xf numFmtId="0" fontId="4" fillId="4" borderId="8">
      <alignment horizontal="right" vertical="center" wrapText="1" indent="1"/>
    </xf>
    <xf numFmtId="0" fontId="8" fillId="0" borderId="7" applyFill="0">
      <alignment wrapText="1"/>
    </xf>
    <xf numFmtId="0" fontId="9" fillId="5" borderId="9">
      <alignment horizontal="center" vertical="center" wrapText="1"/>
    </xf>
    <xf numFmtId="0" fontId="10" fillId="0" borderId="7" applyFill="0">
      <alignment vertical="center" wrapText="1"/>
    </xf>
    <xf numFmtId="0" fontId="9" fillId="6" borderId="9">
      <alignment horizontal="center" vertical="center" wrapText="1"/>
    </xf>
    <xf numFmtId="0" fontId="10" fillId="0" borderId="7" applyFill="0">
      <alignment horizontal="left" vertical="center" wrapText="1"/>
    </xf>
    <xf numFmtId="0" fontId="9" fillId="7" borderId="9">
      <alignment horizontal="center" vertical="center" wrapText="1"/>
    </xf>
    <xf numFmtId="0" fontId="9" fillId="8" borderId="9">
      <alignment horizontal="center" vertical="center" wrapText="1"/>
    </xf>
    <xf numFmtId="0" fontId="4" fillId="4" borderId="0" applyBorder="0">
      <alignment horizontal="right" vertical="center" wrapText="1" indent="1"/>
    </xf>
    <xf numFmtId="0" fontId="11" fillId="0" borderId="7" applyFill="0">
      <alignment horizontal="left" vertical="center" wrapText="1"/>
    </xf>
    <xf numFmtId="0" fontId="11" fillId="0" borderId="10" applyFill="0">
      <alignment horizontal="left" vertical="center" wrapText="1"/>
    </xf>
    <xf numFmtId="0" fontId="4" fillId="4" borderId="9">
      <alignment horizontal="right" vertical="center" wrapText="1" indent="1"/>
    </xf>
    <xf numFmtId="0" fontId="4" fillId="4" borderId="11">
      <alignment horizontal="right" vertical="center" wrapText="1" indent="1"/>
    </xf>
    <xf numFmtId="0" fontId="10" fillId="0" borderId="7" applyFill="0">
      <alignment wrapText="1"/>
    </xf>
    <xf numFmtId="0" fontId="10" fillId="0" borderId="0" applyFill="0" applyBorder="0">
      <alignment vertical="center" wrapText="1"/>
    </xf>
    <xf numFmtId="0" fontId="10" fillId="0" borderId="0" applyFill="0" applyBorder="0">
      <alignment vertical="top" wrapText="1"/>
    </xf>
    <xf numFmtId="0" fontId="4" fillId="4" borderId="12">
      <alignment horizontal="right" vertical="center" wrapText="1" indent="1"/>
    </xf>
    <xf numFmtId="0" fontId="4" fillId="4" borderId="13">
      <alignment horizontal="right" vertical="center" wrapText="1" indent="1"/>
    </xf>
    <xf numFmtId="0" fontId="8" fillId="0" borderId="12" applyFill="0">
      <alignment wrapText="1"/>
    </xf>
    <xf numFmtId="0" fontId="8" fillId="0" borderId="13" applyFill="0">
      <alignment wrapText="1"/>
    </xf>
    <xf numFmtId="0" fontId="8" fillId="0" borderId="13" applyFill="0">
      <alignment vertical="center" wrapText="1"/>
    </xf>
    <xf numFmtId="0" fontId="1" fillId="9" borderId="0" applyBorder="0">
      <alignment horizontal="right" wrapText="1"/>
    </xf>
    <xf numFmtId="0" fontId="1" fillId="9" borderId="0" applyBorder="0">
      <alignment wrapText="1"/>
    </xf>
    <xf numFmtId="0" fontId="12" fillId="0" borderId="0" applyFill="0" applyBorder="0">
      <alignment vertical="center" wrapText="1"/>
    </xf>
    <xf numFmtId="0" fontId="1" fillId="9" borderId="0" applyBorder="0">
      <alignment horizontal="right" vertical="center"/>
    </xf>
    <xf numFmtId="0" fontId="1" fillId="0" borderId="14" applyFill="0">
      <alignment horizontal="center" vertical="center" wrapText="1"/>
    </xf>
    <xf numFmtId="167" fontId="1" fillId="9" borderId="15">
      <alignment horizontal="right" vertical="top" wrapText="1"/>
    </xf>
    <xf numFmtId="167" fontId="1" fillId="9" borderId="0" applyBorder="0">
      <alignment vertical="top" wrapText="1"/>
    </xf>
    <xf numFmtId="167" fontId="1" fillId="9" borderId="0" applyBorder="0">
      <alignment horizontal="right" vertical="top" wrapText="1"/>
    </xf>
    <xf numFmtId="49" fontId="1" fillId="9" borderId="0" applyBorder="0">
      <alignment horizontal="right" vertical="center" wrapText="1" indent="1"/>
    </xf>
    <xf numFmtId="0" fontId="1" fillId="7" borderId="16">
      <alignment horizontal="center" vertical="center" wrapText="1"/>
    </xf>
    <xf numFmtId="49" fontId="1" fillId="8" borderId="16">
      <alignment horizontal="center" vertical="center" wrapText="1"/>
      <protection locked="0"/>
    </xf>
    <xf numFmtId="0" fontId="1" fillId="9" borderId="0" applyBorder="0">
      <alignment horizontal="right" vertical="center" wrapText="1" indent="1"/>
    </xf>
    <xf numFmtId="1" fontId="1" fillId="8" borderId="16">
      <alignment horizontal="center" vertical="center" wrapText="1"/>
      <protection locked="0"/>
    </xf>
    <xf numFmtId="49" fontId="13" fillId="9" borderId="0" applyBorder="0">
      <alignment horizontal="right" vertical="center" wrapText="1"/>
    </xf>
    <xf numFmtId="49" fontId="1" fillId="7" borderId="16">
      <alignment horizontal="center" vertical="center" wrapText="1"/>
    </xf>
    <xf numFmtId="0" fontId="1" fillId="7" borderId="16">
      <alignment horizontal="center" vertical="center"/>
    </xf>
    <xf numFmtId="0" fontId="1" fillId="9" borderId="0" applyBorder="0">
      <alignment horizontal="right" wrapText="1" indent="2"/>
    </xf>
    <xf numFmtId="0" fontId="1" fillId="0" borderId="0" applyFill="0" applyBorder="0">
      <alignment horizontal="right" vertical="center" wrapText="1" indent="1"/>
    </xf>
    <xf numFmtId="49" fontId="9" fillId="8" borderId="16">
      <alignment horizontal="center" vertical="center" wrapText="1"/>
      <protection locked="0"/>
    </xf>
    <xf numFmtId="49" fontId="1" fillId="8" borderId="17">
      <alignment horizontal="center" vertical="center" wrapText="1"/>
      <protection locked="0"/>
    </xf>
    <xf numFmtId="49" fontId="1" fillId="0" borderId="0" applyFill="0" applyBorder="0">
      <alignment horizontal="center" vertical="center" wrapText="1"/>
    </xf>
    <xf numFmtId="0" fontId="1" fillId="9" borderId="0" applyBorder="0">
      <alignment horizontal="right" vertical="center" wrapText="1"/>
    </xf>
    <xf numFmtId="0" fontId="1" fillId="9" borderId="0" applyBorder="0">
      <alignment vertical="center" wrapText="1"/>
    </xf>
    <xf numFmtId="0" fontId="1" fillId="9" borderId="0" applyBorder="0">
      <alignment horizontal="center" vertical="center" wrapText="1"/>
    </xf>
    <xf numFmtId="49" fontId="1" fillId="5" borderId="16">
      <alignment horizontal="center" vertical="center" wrapText="1"/>
      <protection locked="0"/>
    </xf>
    <xf numFmtId="172" fontId="9" fillId="5" borderId="16">
      <alignment horizontal="right" vertical="center" wrapText="1" indent="1"/>
      <protection locked="0"/>
    </xf>
    <xf numFmtId="0" fontId="1" fillId="0" borderId="0" applyFill="0" applyBorder="0">
      <alignment horizontal="left" wrapText="1"/>
    </xf>
    <xf numFmtId="0" fontId="1" fillId="0" borderId="0" applyFill="0" applyBorder="0">
      <alignment horizontal="left" wrapText="1"/>
    </xf>
    <xf numFmtId="0" fontId="14" fillId="0" borderId="0" applyFill="0" applyBorder="0">
      <alignment vertical="top"/>
    </xf>
    <xf numFmtId="0" fontId="14" fillId="0" borderId="0" applyFill="0" applyBorder="0">
      <alignment vertical="top"/>
    </xf>
    <xf numFmtId="0" fontId="1" fillId="0" borderId="0" applyFill="0" applyBorder="0">
      <alignment horizontal="left"/>
    </xf>
    <xf numFmtId="0" fontId="1" fillId="0" borderId="14" applyFill="0">
      <alignment horizontal="left" vertical="center" wrapText="1" indent="1"/>
    </xf>
    <xf numFmtId="49" fontId="15" fillId="0" borderId="14" applyFill="0">
      <alignment vertical="top"/>
    </xf>
    <xf numFmtId="0" fontId="1" fillId="0" borderId="14" applyFill="0">
      <alignment horizontal="left" vertical="center" wrapText="1" indent="1"/>
    </xf>
    <xf numFmtId="0" fontId="1" fillId="0" borderId="16" applyFill="0">
      <alignment horizontal="center" vertical="center" wrapText="1"/>
    </xf>
    <xf numFmtId="0" fontId="1" fillId="0" borderId="16" applyFill="0">
      <alignment horizontal="center" vertical="center"/>
    </xf>
    <xf numFmtId="49" fontId="1" fillId="0" borderId="16" applyFill="0">
      <alignment horizontal="center" vertical="center" wrapText="1"/>
    </xf>
    <xf numFmtId="0" fontId="1" fillId="0" borderId="16" applyFill="0">
      <alignment horizontal="center" vertical="center" wrapText="1"/>
    </xf>
    <xf numFmtId="49" fontId="1" fillId="10" borderId="18">
      <alignment horizontal="center" vertical="center" wrapText="1"/>
    </xf>
    <xf numFmtId="49" fontId="1" fillId="10" borderId="19">
      <alignment horizontal="center" vertical="center" wrapText="1"/>
    </xf>
    <xf numFmtId="49" fontId="1" fillId="10" borderId="18">
      <alignment horizontal="center" vertical="center" wrapText="1"/>
    </xf>
    <xf numFmtId="49" fontId="1" fillId="0" borderId="20" applyFill="0">
      <alignment horizontal="center" vertical="center" wrapText="1"/>
    </xf>
    <xf numFmtId="49" fontId="1" fillId="0" borderId="21" applyFill="0">
      <alignment horizontal="center" vertical="center" wrapText="1"/>
    </xf>
    <xf numFmtId="49" fontId="1" fillId="0" borderId="22" applyFill="0">
      <alignment horizontal="center" vertical="center" wrapText="1"/>
    </xf>
    <xf numFmtId="0" fontId="16" fillId="0" borderId="0" applyFill="0" applyBorder="0">
      <alignment horizontal="center" vertical="center" wrapText="1"/>
    </xf>
    <xf numFmtId="0" fontId="16" fillId="0" borderId="0" applyFill="0" applyBorder="0">
      <alignment horizontal="center" vertical="center" wrapText="1"/>
    </xf>
    <xf numFmtId="0" fontId="16" fillId="9" borderId="0" applyBorder="0">
      <alignment horizontal="center" vertical="center" wrapText="1"/>
    </xf>
    <xf numFmtId="0" fontId="16" fillId="9" borderId="0" applyBorder="0">
      <alignment horizontal="center" vertical="center" wrapText="1"/>
    </xf>
    <xf numFmtId="0" fontId="17" fillId="0" borderId="20" applyFill="0">
      <alignment horizontal="center" vertical="center" wrapText="1"/>
    </xf>
    <xf numFmtId="0" fontId="17" fillId="0" borderId="20" applyFill="0">
      <alignment horizontal="left" vertical="center" wrapText="1" indent="3"/>
    </xf>
    <xf numFmtId="0" fontId="1" fillId="0" borderId="20" applyFill="0">
      <alignment horizontal="left" wrapText="1"/>
    </xf>
    <xf numFmtId="0" fontId="1" fillId="0" borderId="20" applyFill="0">
      <alignment horizontal="left" wrapText="1"/>
    </xf>
    <xf numFmtId="0" fontId="15" fillId="0" borderId="0" applyFill="0" applyBorder="0">
      <alignment horizontal="left"/>
    </xf>
    <xf numFmtId="0" fontId="1" fillId="0" borderId="20" applyFill="0">
      <alignment horizontal="left" vertical="center" wrapText="1"/>
    </xf>
    <xf numFmtId="0" fontId="17" fillId="0" borderId="20" applyFill="0">
      <alignment horizontal="center" vertical="center" wrapText="1"/>
    </xf>
    <xf numFmtId="0" fontId="18" fillId="0" borderId="0" applyFont="0" applyFill="0" applyBorder="0">
      <alignment vertical="center"/>
    </xf>
    <xf numFmtId="49" fontId="19" fillId="11" borderId="23">
      <alignment horizontal="right"/>
    </xf>
    <xf numFmtId="49" fontId="20" fillId="11" borderId="24">
      <alignment horizontal="left" vertical="center" indent="1"/>
    </xf>
    <xf numFmtId="49" fontId="1" fillId="11" borderId="24">
      <alignment horizontal="right"/>
    </xf>
    <xf numFmtId="49" fontId="1" fillId="11" borderId="24">
      <alignment horizontal="left" indent="3"/>
    </xf>
    <xf numFmtId="49" fontId="1" fillId="11" borderId="25">
      <alignment horizontal="right"/>
    </xf>
    <xf numFmtId="49" fontId="1" fillId="11" borderId="26">
      <alignment horizontal="right"/>
    </xf>
    <xf numFmtId="0" fontId="1" fillId="0" borderId="26" applyFill="0">
      <alignment horizontal="left" vertical="center" wrapText="1"/>
    </xf>
    <xf numFmtId="0" fontId="1" fillId="0" borderId="14" applyFill="0">
      <alignment horizontal="left" vertical="center" wrapText="1"/>
    </xf>
    <xf numFmtId="0" fontId="1" fillId="0" borderId="27" applyFill="0">
      <alignment horizontal="left" vertical="center" wrapText="1"/>
    </xf>
    <xf numFmtId="4" fontId="1" fillId="7" borderId="16">
      <alignment horizontal="right" vertical="center" wrapText="1" indent="1"/>
    </xf>
    <xf numFmtId="0" fontId="1" fillId="0" borderId="16" applyFill="0">
      <alignment vertical="center" wrapText="1"/>
    </xf>
    <xf numFmtId="3" fontId="1" fillId="7" borderId="16">
      <alignment horizontal="right" vertical="center" wrapText="1" indent="1"/>
    </xf>
    <xf numFmtId="0" fontId="1" fillId="0" borderId="16" applyFill="0">
      <alignment vertical="center" wrapText="1"/>
    </xf>
    <xf numFmtId="0" fontId="1" fillId="0" borderId="22" applyFill="0">
      <alignment horizontal="center" vertical="center" wrapText="1"/>
    </xf>
    <xf numFmtId="0" fontId="1" fillId="0" borderId="26" applyFill="0">
      <alignment vertical="center" wrapText="1"/>
    </xf>
    <xf numFmtId="0" fontId="1" fillId="0" borderId="26" applyFill="0">
      <alignment horizontal="left" vertical="center" wrapText="1" indent="1"/>
    </xf>
    <xf numFmtId="0" fontId="1" fillId="0" borderId="27" applyFill="0">
      <alignment horizontal="left" vertical="center" wrapText="1" indent="1"/>
    </xf>
    <xf numFmtId="0" fontId="21" fillId="9" borderId="0" applyBorder="0">
      <alignment horizontal="center" vertical="top" wrapText="1"/>
    </xf>
    <xf numFmtId="0" fontId="22" fillId="9" borderId="0" applyBorder="0">
      <alignment vertical="top" wrapText="1"/>
    </xf>
    <xf numFmtId="0" fontId="1" fillId="9" borderId="18">
      <alignment horizontal="left" wrapText="1"/>
    </xf>
    <xf numFmtId="0" fontId="1" fillId="0" borderId="15" applyFill="0">
      <alignment horizontal="left" vertical="top" wrapText="1" indent="2"/>
    </xf>
    <xf numFmtId="0" fontId="1" fillId="0" borderId="0" applyFill="0" applyBorder="0">
      <alignment horizontal="left" vertical="top" wrapText="1" indent="2"/>
    </xf>
    <xf numFmtId="0" fontId="1" fillId="0" borderId="16" applyFill="0">
      <alignment horizontal="left" vertical="center" wrapText="1" indent="1"/>
    </xf>
    <xf numFmtId="0" fontId="1" fillId="0" borderId="28" applyFill="0">
      <alignment horizontal="left" vertical="center" wrapText="1" indent="1"/>
    </xf>
    <xf numFmtId="0" fontId="1" fillId="0" borderId="26" applyFill="0">
      <alignment horizontal="center" vertical="center" wrapText="1"/>
    </xf>
    <xf numFmtId="0" fontId="2" fillId="0" borderId="16" applyFill="0">
      <alignment horizontal="center" vertical="center" wrapText="1"/>
    </xf>
    <xf numFmtId="0" fontId="1" fillId="0" borderId="29" applyFill="0">
      <alignment horizontal="left" vertical="center" wrapText="1" indent="1"/>
    </xf>
    <xf numFmtId="0" fontId="1" fillId="0" borderId="30" applyFill="0">
      <alignment horizontal="center" vertical="center" wrapText="1"/>
    </xf>
    <xf numFmtId="0" fontId="1" fillId="0" borderId="30" applyFill="0">
      <alignment horizontal="left" vertical="center" wrapText="1" indent="1"/>
    </xf>
    <xf numFmtId="0" fontId="1" fillId="0" borderId="20" applyFill="0">
      <alignment horizontal="center" vertical="center" wrapText="1"/>
    </xf>
    <xf numFmtId="0" fontId="1" fillId="0" borderId="28" applyFill="0">
      <alignment horizontal="center" vertical="center" wrapText="1"/>
    </xf>
    <xf numFmtId="0" fontId="2" fillId="0" borderId="20" applyFill="0">
      <alignment horizontal="center" vertical="center" wrapText="1"/>
    </xf>
    <xf numFmtId="49" fontId="1" fillId="0" borderId="30" applyFill="0">
      <alignment horizontal="center" vertical="center" wrapText="1"/>
    </xf>
    <xf numFmtId="49" fontId="1" fillId="0" borderId="16" applyFill="0">
      <alignment horizontal="left" vertical="center" wrapText="1" indent="1"/>
    </xf>
    <xf numFmtId="3" fontId="1" fillId="10" borderId="30">
      <alignment horizontal="right" vertical="center" wrapText="1" indent="1"/>
    </xf>
    <xf numFmtId="3" fontId="1" fillId="10" borderId="16">
      <alignment horizontal="right" vertical="center" wrapText="1" indent="1"/>
    </xf>
    <xf numFmtId="0" fontId="14" fillId="10" borderId="26">
      <alignment vertical="top"/>
    </xf>
    <xf numFmtId="0" fontId="11" fillId="0" borderId="16" applyFill="0">
      <alignment horizontal="center" vertical="center" wrapText="1"/>
    </xf>
    <xf numFmtId="3" fontId="1" fillId="7" borderId="30">
      <alignment horizontal="right" vertical="center" wrapText="1" indent="1"/>
    </xf>
    <xf numFmtId="3" fontId="1" fillId="8" borderId="16">
      <alignment horizontal="right" vertical="center" wrapText="1" indent="1"/>
      <protection locked="0"/>
    </xf>
    <xf numFmtId="49" fontId="14" fillId="8" borderId="26">
      <alignment vertical="top"/>
      <protection locked="0"/>
    </xf>
    <xf numFmtId="0" fontId="21" fillId="9" borderId="0" applyBorder="0">
      <alignment vertical="top" wrapText="1"/>
    </xf>
    <xf numFmtId="49" fontId="23" fillId="0" borderId="0" applyFill="0" applyBorder="0">
      <alignment vertical="top" wrapText="1"/>
    </xf>
    <xf numFmtId="49" fontId="1" fillId="0" borderId="1" applyFill="0">
      <alignment horizontal="left" vertical="center" indent="1"/>
    </xf>
    <xf numFmtId="49" fontId="1" fillId="0" borderId="1" applyFill="0">
      <alignment vertical="top"/>
    </xf>
    <xf numFmtId="49" fontId="1" fillId="9" borderId="0" applyBorder="0">
      <alignment horizontal="center" vertical="center"/>
    </xf>
    <xf numFmtId="49" fontId="9" fillId="12" borderId="2">
      <alignment horizontal="center" vertical="center"/>
    </xf>
    <xf numFmtId="49" fontId="1" fillId="12" borderId="2">
      <alignment horizontal="center" vertical="center"/>
    </xf>
    <xf numFmtId="49" fontId="9" fillId="12" borderId="2">
      <alignment horizontal="center" vertical="center" wrapText="1"/>
    </xf>
    <xf numFmtId="49" fontId="24" fillId="0" borderId="31" applyFill="0">
      <alignment horizontal="center" vertical="center" wrapText="1"/>
    </xf>
    <xf numFmtId="0" fontId="2" fillId="0" borderId="32" applyFill="0">
      <alignment vertical="center" wrapText="1"/>
    </xf>
    <xf numFmtId="49" fontId="1" fillId="0" borderId="32" applyFill="0">
      <alignment vertical="center" wrapText="1"/>
    </xf>
    <xf numFmtId="49" fontId="9" fillId="0" borderId="33" applyFill="0">
      <alignment vertical="center"/>
    </xf>
    <xf numFmtId="0" fontId="1" fillId="0" borderId="0" applyFill="0" applyBorder="0"/>
    <xf numFmtId="49" fontId="25" fillId="0" borderId="8" applyFill="0">
      <alignment horizontal="right" vertical="center" wrapText="1" indent="1"/>
    </xf>
    <xf numFmtId="0" fontId="1" fillId="0" borderId="2" applyFill="0">
      <alignment horizontal="center" vertical="center"/>
    </xf>
    <xf numFmtId="49" fontId="1" fillId="9" borderId="2">
      <alignment horizontal="left" vertical="center" wrapText="1" indent="1"/>
    </xf>
    <xf numFmtId="0" fontId="1" fillId="8" borderId="2">
      <alignment horizontal="center" vertical="center" wrapText="1"/>
      <protection locked="0"/>
    </xf>
    <xf numFmtId="49" fontId="14" fillId="5" borderId="2">
      <alignment horizontal="center" vertical="center" wrapText="1"/>
      <protection locked="0"/>
    </xf>
    <xf numFmtId="0" fontId="1" fillId="5" borderId="2">
      <alignment horizontal="center" vertical="center" wrapText="1"/>
      <protection locked="0"/>
    </xf>
    <xf numFmtId="49" fontId="20" fillId="13" borderId="26">
      <alignment horizontal="left" vertical="center"/>
    </xf>
    <xf numFmtId="49" fontId="20" fillId="13" borderId="14">
      <alignment horizontal="left" vertical="center"/>
    </xf>
    <xf numFmtId="49" fontId="20" fillId="13" borderId="27">
      <alignment horizontal="left" vertical="center"/>
    </xf>
    <xf numFmtId="49" fontId="1" fillId="12" borderId="0" applyBorder="0">
      <alignment horizontal="left" vertical="center" wrapText="1"/>
    </xf>
    <xf numFmtId="0" fontId="2" fillId="14" borderId="16">
      <alignment horizontal="left" vertical="center"/>
    </xf>
    <xf numFmtId="0" fontId="2" fillId="14" borderId="16">
      <alignment horizontal="left"/>
    </xf>
    <xf numFmtId="49" fontId="12" fillId="15" borderId="0" applyBorder="0">
      <alignment horizontal="center" vertical="top"/>
    </xf>
    <xf numFmtId="0" fontId="2" fillId="14" borderId="16">
      <alignment horizontal="center"/>
    </xf>
    <xf numFmtId="49" fontId="2" fillId="14" borderId="16">
      <alignment horizontal="center" vertical="center"/>
    </xf>
    <xf numFmtId="0" fontId="26" fillId="14" borderId="0" applyBorder="0">
      <alignment horizontal="center" vertical="center"/>
    </xf>
    <xf numFmtId="49" fontId="2" fillId="14" borderId="16">
      <alignment horizontal="center" vertical="center"/>
    </xf>
    <xf numFmtId="0" fontId="27" fillId="0" borderId="0" applyFill="0" applyBorder="0">
      <alignment vertical="center" wrapText="1"/>
    </xf>
    <xf numFmtId="0" fontId="1" fillId="0" borderId="0" applyFill="0" applyBorder="0">
      <alignment horizontal="left" vertical="center"/>
    </xf>
    <xf numFmtId="0" fontId="4" fillId="0" borderId="0" applyFill="0" applyBorder="0">
      <alignment horizontal="left"/>
    </xf>
    <xf numFmtId="0" fontId="1" fillId="16" borderId="0" applyBorder="0">
      <alignment horizontal="left"/>
    </xf>
    <xf numFmtId="49" fontId="1" fillId="0" borderId="0" applyFill="0" applyBorder="0">
      <alignment horizontal="left"/>
    </xf>
    <xf numFmtId="49" fontId="1" fillId="16" borderId="0" applyBorder="0">
      <alignment horizontal="left"/>
    </xf>
    <xf numFmtId="0" fontId="1" fillId="16" borderId="0" applyBorder="0">
      <alignment horizontal="right"/>
    </xf>
    <xf numFmtId="49" fontId="1" fillId="0" borderId="0" applyFill="0" applyBorder="0">
      <alignment vertical="top"/>
    </xf>
    <xf numFmtId="49" fontId="1" fillId="0" borderId="16" applyFill="0">
      <alignment horizontal="center" vertical="center"/>
    </xf>
    <xf numFmtId="49" fontId="1" fillId="0" borderId="16" applyFill="0">
      <alignment vertical="center"/>
    </xf>
    <xf numFmtId="49" fontId="1" fillId="0" borderId="16" applyFill="0">
      <alignment vertical="center"/>
    </xf>
    <xf numFmtId="49" fontId="1" fillId="0" borderId="16" applyFill="0">
      <alignment vertical="top"/>
    </xf>
    <xf numFmtId="0" fontId="12" fillId="15" borderId="0" applyBorder="0">
      <alignment horizontal="left"/>
    </xf>
    <xf numFmtId="49" fontId="1" fillId="16" borderId="0" applyBorder="0">
      <alignment horizontal="right"/>
    </xf>
    <xf numFmtId="0" fontId="1" fillId="0" borderId="0" applyFill="0" applyBorder="0">
      <alignment vertical="top" wrapText="1"/>
    </xf>
    <xf numFmtId="49" fontId="2" fillId="14" borderId="0" applyBorder="0">
      <alignment vertical="center"/>
    </xf>
    <xf numFmtId="49" fontId="1" fillId="5" borderId="16">
      <alignment horizontal="left" vertical="center" wrapText="1"/>
      <protection locked="0"/>
    </xf>
    <xf numFmtId="0" fontId="1" fillId="5" borderId="16">
      <alignment horizontal="center" vertical="center" wrapText="1"/>
      <protection locked="0"/>
    </xf>
    <xf numFmtId="1" fontId="1" fillId="5" borderId="26">
      <alignment horizontal="right" vertical="center" wrapText="1"/>
      <protection locked="0"/>
    </xf>
    <xf numFmtId="0" fontId="1" fillId="8" borderId="27">
      <alignment horizontal="center" vertical="center" wrapText="1"/>
      <protection locked="0"/>
    </xf>
    <xf numFmtId="171" fontId="1" fillId="8" borderId="16">
      <alignment horizontal="right" vertical="center" wrapText="1" indent="1"/>
      <protection locked="0"/>
    </xf>
    <xf numFmtId="4" fontId="1" fillId="8" borderId="16">
      <alignment horizontal="right" vertical="center" wrapText="1" indent="1"/>
      <protection locked="0"/>
    </xf>
    <xf numFmtId="49" fontId="1" fillId="5" borderId="16">
      <alignment horizontal="right" vertical="center" wrapText="1"/>
      <protection locked="0"/>
    </xf>
    <xf numFmtId="49" fontId="1" fillId="8" borderId="16">
      <alignment horizontal="right" vertical="center" wrapText="1" indent="1"/>
      <protection locked="0"/>
    </xf>
    <xf numFmtId="49" fontId="1" fillId="5" borderId="16">
      <alignment horizontal="right" vertical="center" wrapText="1"/>
      <protection locked="0"/>
    </xf>
    <xf numFmtId="0" fontId="26" fillId="0" borderId="0" applyFill="0" applyBorder="0">
      <alignment horizontal="left"/>
    </xf>
    <xf numFmtId="0" fontId="1" fillId="5" borderId="27">
      <alignment horizontal="center" vertical="center" wrapText="1"/>
      <protection locked="0"/>
    </xf>
    <xf numFmtId="171" fontId="1" fillId="5" borderId="16">
      <alignment horizontal="right" vertical="center" wrapText="1" indent="1"/>
      <protection locked="0"/>
    </xf>
    <xf numFmtId="3" fontId="1" fillId="5" borderId="16">
      <alignment horizontal="right" vertical="center" wrapText="1" indent="1"/>
      <protection locked="0"/>
    </xf>
    <xf numFmtId="3" fontId="1" fillId="5" borderId="16">
      <alignment horizontal="right" vertical="center" wrapText="1" indent="1"/>
      <protection locked="0"/>
    </xf>
    <xf numFmtId="49" fontId="1" fillId="5" borderId="16">
      <alignment horizontal="right" vertical="center" wrapText="1" indent="1"/>
      <protection locked="0"/>
    </xf>
    <xf numFmtId="0" fontId="1" fillId="5" borderId="27">
      <alignment horizontal="center" vertical="center" wrapText="1"/>
      <protection locked="0"/>
    </xf>
    <xf numFmtId="49" fontId="1" fillId="0" borderId="16" applyFill="0">
      <alignment horizontal="left" vertical="center" wrapText="1"/>
    </xf>
    <xf numFmtId="49" fontId="1" fillId="8" borderId="16">
      <alignment horizontal="left" vertical="center" wrapText="1" indent="1"/>
      <protection locked="0"/>
    </xf>
    <xf numFmtId="49" fontId="1" fillId="5" borderId="16">
      <alignment horizontal="left" vertical="center" wrapText="1" indent="1"/>
      <protection locked="0"/>
    </xf>
    <xf numFmtId="168" fontId="1" fillId="5" borderId="16">
      <alignment horizontal="right" vertical="center" wrapText="1" indent="1"/>
      <protection locked="0"/>
    </xf>
    <xf numFmtId="168" fontId="1" fillId="7" borderId="16">
      <alignment horizontal="right" vertical="center" wrapText="1" indent="1"/>
    </xf>
    <xf numFmtId="49" fontId="1" fillId="8" borderId="2">
      <alignment horizontal="left" vertical="center" wrapText="1" indent="1"/>
      <protection locked="0"/>
    </xf>
    <xf numFmtId="0" fontId="28" fillId="0" borderId="0" applyFill="0" applyBorder="0"/>
    <xf numFmtId="169" fontId="1" fillId="9" borderId="0" applyBorder="0">
      <alignment vertical="top" wrapText="1"/>
    </xf>
    <xf numFmtId="169" fontId="1" fillId="9" borderId="0" applyBorder="0">
      <alignment horizontal="center" vertical="center" wrapText="1"/>
    </xf>
    <xf numFmtId="49" fontId="1" fillId="0" borderId="14" applyFill="0">
      <alignment horizontal="left" vertical="center" indent="1"/>
    </xf>
    <xf numFmtId="49" fontId="1" fillId="0" borderId="18" applyFill="0">
      <alignment vertical="top"/>
    </xf>
    <xf numFmtId="1" fontId="1" fillId="0" borderId="14" applyFill="0">
      <alignment vertical="center" wrapText="1"/>
    </xf>
    <xf numFmtId="0" fontId="1" fillId="0" borderId="14" applyFill="0">
      <alignment vertical="center" wrapText="1"/>
    </xf>
    <xf numFmtId="1" fontId="1" fillId="0" borderId="16" applyFill="0">
      <alignment horizontal="center" vertical="center" wrapText="1"/>
    </xf>
    <xf numFmtId="169" fontId="1" fillId="0" borderId="22" applyFill="0">
      <alignment horizontal="center" vertical="center" wrapText="1"/>
    </xf>
    <xf numFmtId="169" fontId="1" fillId="0" borderId="22" applyFill="0">
      <alignment horizontal="right" vertical="center" wrapText="1"/>
    </xf>
    <xf numFmtId="169" fontId="1" fillId="0" borderId="20" applyFill="0">
      <alignment horizontal="center" vertical="center" wrapText="1"/>
    </xf>
    <xf numFmtId="169" fontId="1" fillId="0" borderId="20" applyFill="0">
      <alignment horizontal="right" vertical="center" wrapText="1"/>
    </xf>
    <xf numFmtId="49" fontId="1" fillId="0" borderId="14" applyFill="0">
      <alignment horizontal="center" vertical="top" wrapText="1"/>
    </xf>
    <xf numFmtId="3" fontId="1" fillId="0" borderId="14" applyFill="0">
      <alignment horizontal="center" vertical="top" wrapText="1"/>
    </xf>
    <xf numFmtId="0" fontId="1" fillId="0" borderId="14" applyFill="0">
      <alignment horizontal="center" vertical="top" wrapText="1"/>
    </xf>
    <xf numFmtId="3" fontId="1" fillId="0" borderId="14" applyFill="0">
      <alignment horizontal="right" vertical="top" wrapText="1"/>
    </xf>
    <xf numFmtId="49" fontId="1" fillId="6" borderId="30">
      <alignment horizontal="center" vertical="center" wrapText="1"/>
    </xf>
    <xf numFmtId="49" fontId="1" fillId="6" borderId="22">
      <alignment vertical="top" wrapText="1"/>
    </xf>
    <xf numFmtId="168" fontId="1" fillId="0" borderId="22" applyFill="0">
      <alignment horizontal="right" vertical="center" wrapText="1"/>
    </xf>
    <xf numFmtId="168" fontId="1" fillId="7" borderId="22">
      <alignment horizontal="right" vertical="center" wrapText="1"/>
    </xf>
    <xf numFmtId="49" fontId="1" fillId="6" borderId="16">
      <alignment horizontal="center" vertical="center" wrapText="1"/>
    </xf>
    <xf numFmtId="168" fontId="1" fillId="0" borderId="16" applyFill="0">
      <alignment horizontal="right" vertical="center" wrapText="1"/>
    </xf>
    <xf numFmtId="3" fontId="1" fillId="0" borderId="16" applyFill="0">
      <alignment horizontal="right" vertical="center" wrapText="1"/>
    </xf>
    <xf numFmtId="49" fontId="1" fillId="0" borderId="16" applyFill="0">
      <alignment horizontal="left" vertical="top" wrapText="1" indent="1"/>
    </xf>
    <xf numFmtId="10" fontId="1" fillId="5" borderId="16">
      <alignment horizontal="right" vertical="center" wrapText="1"/>
      <protection locked="0"/>
    </xf>
    <xf numFmtId="3" fontId="1" fillId="7" borderId="16">
      <alignment horizontal="right" vertical="center" wrapText="1"/>
    </xf>
    <xf numFmtId="3" fontId="1" fillId="5" borderId="16">
      <alignment horizontal="right" vertical="center" wrapText="1"/>
      <protection locked="0"/>
    </xf>
    <xf numFmtId="2" fontId="1" fillId="0" borderId="16" applyFill="0">
      <alignment horizontal="right" vertical="center" wrapText="1"/>
    </xf>
    <xf numFmtId="2" fontId="1" fillId="9" borderId="16">
      <alignment horizontal="right" vertical="center" wrapText="1"/>
    </xf>
    <xf numFmtId="49" fontId="1" fillId="0" borderId="16" applyFill="0">
      <alignment horizontal="left" vertical="top" wrapText="1" indent="2"/>
    </xf>
    <xf numFmtId="1" fontId="1" fillId="5" borderId="16">
      <alignment horizontal="right" vertical="center" wrapText="1"/>
      <protection locked="0"/>
    </xf>
    <xf numFmtId="49" fontId="1" fillId="6" borderId="16">
      <alignment vertical="top" wrapText="1"/>
    </xf>
    <xf numFmtId="168" fontId="1" fillId="7" borderId="16">
      <alignment horizontal="right" vertical="center" wrapText="1"/>
    </xf>
    <xf numFmtId="4" fontId="1" fillId="0" borderId="16" applyFill="0">
      <alignment horizontal="right" vertical="center" wrapText="1"/>
    </xf>
    <xf numFmtId="49" fontId="1" fillId="0" borderId="16" applyFill="0">
      <alignment vertical="top" wrapText="1"/>
    </xf>
    <xf numFmtId="0" fontId="1" fillId="0" borderId="16" applyFill="0">
      <alignment horizontal="left" vertical="top" wrapText="1" indent="1"/>
    </xf>
    <xf numFmtId="49" fontId="1" fillId="0" borderId="18" applyFill="0">
      <alignment horizontal="left"/>
    </xf>
    <xf numFmtId="0" fontId="1" fillId="9" borderId="0" applyBorder="0">
      <alignment vertical="top" wrapText="1"/>
    </xf>
    <xf numFmtId="0" fontId="2" fillId="9" borderId="0" applyBorder="0">
      <alignment horizontal="left" vertical="top" indent="1"/>
    </xf>
    <xf numFmtId="0" fontId="2" fillId="9" borderId="0" applyBorder="0">
      <alignment horizontal="right" vertical="top"/>
    </xf>
    <xf numFmtId="49" fontId="21" fillId="9" borderId="0" applyBorder="0">
      <alignment vertical="top" wrapText="1"/>
    </xf>
    <xf numFmtId="1" fontId="1" fillId="9" borderId="0" applyBorder="0">
      <alignment horizontal="center" vertical="center" wrapText="1"/>
    </xf>
    <xf numFmtId="49" fontId="1" fillId="0" borderId="14" applyFill="0">
      <alignment horizontal="left" vertical="center" wrapText="1" indent="1"/>
    </xf>
    <xf numFmtId="1" fontId="1" fillId="0" borderId="15" applyFill="0">
      <alignment vertical="center" wrapText="1"/>
    </xf>
    <xf numFmtId="0" fontId="1" fillId="0" borderId="15" applyFill="0">
      <alignment vertical="center" wrapText="1"/>
    </xf>
    <xf numFmtId="1" fontId="1" fillId="0" borderId="26" applyFill="0">
      <alignment horizontal="center" vertical="center" wrapText="1"/>
    </xf>
    <xf numFmtId="1" fontId="1" fillId="0" borderId="14" applyFill="0">
      <alignment horizontal="center" vertical="center" wrapText="1"/>
    </xf>
    <xf numFmtId="1" fontId="1" fillId="0" borderId="27" applyFill="0">
      <alignment horizontal="center" vertical="center" wrapText="1"/>
    </xf>
    <xf numFmtId="0" fontId="1" fillId="6" borderId="16">
      <alignment vertical="center" wrapText="1"/>
    </xf>
    <xf numFmtId="4" fontId="1" fillId="5" borderId="16">
      <alignment horizontal="right" vertical="center" wrapText="1"/>
      <protection locked="0"/>
    </xf>
    <xf numFmtId="4" fontId="1" fillId="7" borderId="16">
      <alignment horizontal="right" vertical="center" wrapText="1"/>
    </xf>
    <xf numFmtId="0" fontId="1" fillId="0" borderId="16" applyFill="0">
      <alignment horizontal="left" vertical="center" wrapText="1" indent="2"/>
    </xf>
    <xf numFmtId="0" fontId="1" fillId="6" borderId="16">
      <alignment horizontal="left" vertical="center" wrapText="1"/>
    </xf>
    <xf numFmtId="172" fontId="1" fillId="0" borderId="16" applyFill="0">
      <alignment horizontal="right" vertical="center" wrapText="1"/>
    </xf>
    <xf numFmtId="173" fontId="2" fillId="9" borderId="0" applyBorder="0">
      <alignment horizontal="center" wrapText="1"/>
    </xf>
    <xf numFmtId="49" fontId="1" fillId="0" borderId="14" applyFill="0">
      <alignment horizontal="center" vertical="center" wrapText="1"/>
    </xf>
    <xf numFmtId="49" fontId="1" fillId="9" borderId="0" applyBorder="0">
      <alignment horizontal="center" vertical="top" wrapText="1"/>
    </xf>
    <xf numFmtId="49" fontId="1" fillId="6" borderId="22">
      <alignment horizontal="center" vertical="center" wrapText="1"/>
    </xf>
    <xf numFmtId="0" fontId="1" fillId="6" borderId="22">
      <alignment vertical="center" wrapText="1"/>
    </xf>
    <xf numFmtId="3" fontId="1" fillId="7" borderId="22">
      <alignment horizontal="right" vertical="center" wrapText="1"/>
    </xf>
    <xf numFmtId="168" fontId="1" fillId="9" borderId="0" applyBorder="0">
      <alignment horizontal="center" vertical="center" wrapText="1"/>
    </xf>
    <xf numFmtId="170" fontId="1" fillId="5" borderId="16">
      <alignment horizontal="right" vertical="center" wrapText="1"/>
      <protection locked="0"/>
    </xf>
    <xf numFmtId="170" fontId="1" fillId="0" borderId="16" applyFill="0">
      <alignment horizontal="right" vertical="center" wrapText="1"/>
    </xf>
    <xf numFmtId="173" fontId="1" fillId="0" borderId="16" applyFill="0">
      <alignment horizontal="right" vertical="center" wrapText="1"/>
    </xf>
    <xf numFmtId="0" fontId="2" fillId="9" borderId="0" applyBorder="0">
      <alignment horizontal="center" vertical="center"/>
    </xf>
    <xf numFmtId="0" fontId="15" fillId="0" borderId="14" applyFill="0">
      <alignment horizontal="left" vertical="center" wrapText="1" indent="1"/>
    </xf>
    <xf numFmtId="0" fontId="1" fillId="10" borderId="16">
      <alignment horizontal="center" vertical="center" wrapText="1"/>
    </xf>
    <xf numFmtId="0" fontId="1" fillId="0" borderId="16" applyFill="0">
      <alignment horizontal="left" vertical="center" wrapText="1"/>
    </xf>
    <xf numFmtId="172" fontId="1" fillId="7" borderId="16">
      <alignment horizontal="right" vertical="center" wrapText="1" indent="1"/>
    </xf>
    <xf numFmtId="0" fontId="1" fillId="0" borderId="0" applyFill="0" applyBorder="0">
      <alignment horizontal="left" vertical="top" wrapText="1"/>
    </xf>
    <xf numFmtId="0" fontId="1" fillId="0" borderId="0" applyFill="0" applyBorder="0">
      <alignment horizontal="center" vertical="center"/>
    </xf>
    <xf numFmtId="169" fontId="13" fillId="9" borderId="0" applyBorder="0">
      <alignment horizontal="center" vertical="center"/>
    </xf>
    <xf numFmtId="0" fontId="1" fillId="9" borderId="18">
      <alignment wrapText="1"/>
    </xf>
    <xf numFmtId="0" fontId="1" fillId="0" borderId="15" applyFill="0">
      <alignment vertical="top" wrapText="1"/>
    </xf>
    <xf numFmtId="0" fontId="1" fillId="0" borderId="0" applyFill="0" applyBorder="0">
      <alignment vertical="top"/>
    </xf>
    <xf numFmtId="3" fontId="1" fillId="8" borderId="16">
      <alignment horizontal="right" vertical="center" indent="1"/>
      <protection locked="0"/>
    </xf>
    <xf numFmtId="0" fontId="2" fillId="0" borderId="16" applyFill="0">
      <alignment horizontal="right" vertical="center" wrapText="1"/>
    </xf>
    <xf numFmtId="0" fontId="2" fillId="0" borderId="22" applyFill="0">
      <alignment horizontal="right" vertical="center" wrapText="1"/>
    </xf>
    <xf numFmtId="168" fontId="2" fillId="7" borderId="22">
      <alignment horizontal="right" vertical="center" wrapText="1" indent="1"/>
    </xf>
    <xf numFmtId="49" fontId="1" fillId="0" borderId="34" applyFill="0"/>
    <xf numFmtId="0" fontId="1" fillId="0" borderId="32" applyFill="0">
      <alignment vertical="top" wrapText="1"/>
    </xf>
    <xf numFmtId="0" fontId="15" fillId="0" borderId="0" applyFill="0" applyBorder="0"/>
    <xf numFmtId="168" fontId="1" fillId="5" borderId="16">
      <alignment horizontal="right" vertical="center" indent="1"/>
      <protection locked="0"/>
    </xf>
    <xf numFmtId="172" fontId="1" fillId="5" borderId="16">
      <alignment horizontal="right" vertical="center" indent="1"/>
      <protection locked="0"/>
    </xf>
    <xf numFmtId="168" fontId="1" fillId="7" borderId="16">
      <alignment horizontal="right" vertical="center" wrapText="1" indent="1"/>
      <protection locked="0"/>
    </xf>
    <xf numFmtId="49" fontId="1" fillId="0" borderId="20" applyFill="0">
      <alignment horizontal="left" vertical="center" wrapText="1" indent="1"/>
    </xf>
    <xf numFmtId="49" fontId="1" fillId="0" borderId="26" applyFill="0">
      <alignment horizontal="center" vertical="center" wrapText="1"/>
    </xf>
    <xf numFmtId="168" fontId="9" fillId="5" borderId="16">
      <alignment horizontal="right" vertical="center" wrapText="1" indent="1"/>
      <protection locked="0"/>
    </xf>
    <xf numFmtId="172" fontId="1" fillId="7" borderId="16">
      <alignment horizontal="right" vertical="center" wrapText="1" indent="1"/>
      <protection locked="0"/>
    </xf>
    <xf numFmtId="0" fontId="1" fillId="7" borderId="16">
      <alignment horizontal="right" vertical="center" wrapText="1" indent="1"/>
    </xf>
    <xf numFmtId="0" fontId="1" fillId="7" borderId="16">
      <alignment horizontal="right" vertical="center" wrapText="1" indent="1"/>
      <protection locked="0"/>
    </xf>
    <xf numFmtId="4" fontId="1" fillId="5" borderId="16">
      <alignment horizontal="right" vertical="center" wrapText="1" indent="1"/>
      <protection locked="0"/>
    </xf>
    <xf numFmtId="1" fontId="1" fillId="7" borderId="16">
      <alignment horizontal="right" vertical="center" wrapText="1" indent="1"/>
    </xf>
    <xf numFmtId="9" fontId="1" fillId="7" borderId="16">
      <alignment horizontal="right" vertical="center" wrapText="1" indent="1"/>
    </xf>
    <xf numFmtId="0" fontId="1" fillId="0" borderId="27" applyFill="0">
      <alignment horizontal="center" vertical="center" wrapText="1"/>
    </xf>
    <xf numFmtId="3" fontId="1" fillId="5" borderId="27">
      <alignment horizontal="center" vertical="center" wrapText="1"/>
      <protection locked="0"/>
    </xf>
    <xf numFmtId="3" fontId="1" fillId="5" borderId="16">
      <alignment horizontal="left" vertical="center" wrapText="1"/>
      <protection locked="0"/>
    </xf>
    <xf numFmtId="170" fontId="1" fillId="7" borderId="16">
      <alignment horizontal="right" vertical="center" wrapText="1" indent="1"/>
    </xf>
    <xf numFmtId="10" fontId="1" fillId="5" borderId="16">
      <alignment horizontal="right" vertical="center" wrapText="1" indent="1"/>
      <protection locked="0"/>
    </xf>
    <xf numFmtId="0" fontId="1" fillId="10" borderId="0" applyBorder="0"/>
    <xf numFmtId="168" fontId="1" fillId="8" borderId="16">
      <alignment horizontal="right" vertical="center" wrapText="1" indent="1"/>
      <protection locked="0"/>
    </xf>
    <xf numFmtId="49" fontId="1" fillId="8" borderId="16">
      <alignment horizontal="left" vertical="center" wrapText="1"/>
      <protection locked="0"/>
    </xf>
    <xf numFmtId="10" fontId="1" fillId="7" borderId="16">
      <alignment horizontal="right" vertical="center" wrapText="1" indent="1"/>
    </xf>
    <xf numFmtId="0" fontId="15" fillId="0" borderId="14" applyFill="0">
      <alignment horizontal="center" vertical="center" wrapText="1"/>
    </xf>
    <xf numFmtId="49" fontId="1" fillId="17" borderId="26">
      <alignment horizontal="center" vertical="center" wrapText="1"/>
    </xf>
    <xf numFmtId="49" fontId="1" fillId="17" borderId="14">
      <alignment horizontal="center" vertical="center" wrapText="1"/>
    </xf>
    <xf numFmtId="49" fontId="1" fillId="17" borderId="27">
      <alignment horizontal="center" vertical="center" wrapText="1"/>
    </xf>
    <xf numFmtId="49" fontId="1" fillId="0" borderId="27" applyFill="0">
      <alignment horizontal="center" vertical="center" wrapText="1"/>
    </xf>
    <xf numFmtId="49" fontId="1" fillId="17" borderId="16">
      <alignment horizontal="center" vertical="center" wrapText="1"/>
    </xf>
    <xf numFmtId="0" fontId="29" fillId="0" borderId="0" applyFill="0" applyBorder="0">
      <alignment horizontal="center" vertical="center" wrapText="1"/>
    </xf>
    <xf numFmtId="0" fontId="1" fillId="0" borderId="16" applyFill="0">
      <alignment horizontal="right" vertical="center" wrapText="1" indent="1"/>
    </xf>
    <xf numFmtId="172" fontId="1" fillId="0" borderId="16" applyFill="0">
      <alignment horizontal="right" vertical="center" wrapText="1" indent="1"/>
    </xf>
    <xf numFmtId="49" fontId="30" fillId="9" borderId="0" applyBorder="0">
      <alignment horizontal="left" vertical="top" wrapText="1"/>
    </xf>
    <xf numFmtId="49" fontId="1" fillId="9" borderId="0" applyBorder="0">
      <alignment vertical="top"/>
    </xf>
  </cellStyleXfs>
  <cellXfs count="355">
    <xf numFmtId="0" fontId="0" fillId="0" borderId="0" xfId="0">
      <alignment vertical="top"/>
    </xf>
    <xf numFmtId="49" fontId="1" fillId="0" borderId="2" xfId="2">
      <alignment horizontal="center" vertical="center" wrapText="1"/>
    </xf>
    <xf numFmtId="49" fontId="2" fillId="0" borderId="1" xfId="4">
      <alignment horizontal="center" vertical="center" wrapText="1"/>
    </xf>
    <xf numFmtId="0" fontId="3" fillId="2" borderId="3" xfId="5">
      <alignment horizontal="center" vertical="center"/>
    </xf>
    <xf numFmtId="0" fontId="4" fillId="2" borderId="3" xfId="6">
      <alignment vertical="center"/>
    </xf>
    <xf numFmtId="49" fontId="4" fillId="2" borderId="3" xfId="7">
      <alignment vertical="center"/>
    </xf>
    <xf numFmtId="0" fontId="5" fillId="2" borderId="3" xfId="8">
      <alignment horizontal="center" vertical="center"/>
    </xf>
    <xf numFmtId="0" fontId="1" fillId="0" borderId="0" xfId="9">
      <alignment horizontal="center" vertical="center" wrapText="1"/>
    </xf>
    <xf numFmtId="49" fontId="7" fillId="0" borderId="0" xfId="11">
      <alignment wrapText="1"/>
    </xf>
    <xf numFmtId="0" fontId="8" fillId="0" borderId="7" xfId="19">
      <alignment wrapText="1"/>
    </xf>
    <xf numFmtId="0" fontId="9" fillId="5" borderId="9" xfId="20">
      <alignment horizontal="center" vertical="center" wrapText="1"/>
    </xf>
    <xf numFmtId="0" fontId="9" fillId="6" borderId="9" xfId="22">
      <alignment horizontal="center" vertical="center" wrapText="1"/>
    </xf>
    <xf numFmtId="0" fontId="9" fillId="7" borderId="9" xfId="24">
      <alignment horizontal="center" vertical="center" wrapText="1"/>
    </xf>
    <xf numFmtId="0" fontId="9" fillId="8" borderId="9" xfId="25">
      <alignment horizontal="center" vertical="center" wrapText="1"/>
    </xf>
    <xf numFmtId="0" fontId="11" fillId="0" borderId="7" xfId="27">
      <alignment horizontal="left" vertical="center" wrapText="1"/>
    </xf>
    <xf numFmtId="0" fontId="11" fillId="0" borderId="10" xfId="28">
      <alignment horizontal="left" vertical="center" wrapText="1"/>
    </xf>
    <xf numFmtId="0" fontId="10" fillId="0" borderId="7" xfId="31">
      <alignment wrapText="1"/>
    </xf>
    <xf numFmtId="0" fontId="10" fillId="0" borderId="0" xfId="33">
      <alignment vertical="top" wrapText="1"/>
    </xf>
    <xf numFmtId="0" fontId="8" fillId="0" borderId="12" xfId="36">
      <alignment wrapText="1"/>
    </xf>
    <xf numFmtId="0" fontId="8" fillId="0" borderId="13" xfId="37">
      <alignment wrapText="1"/>
    </xf>
    <xf numFmtId="0" fontId="8" fillId="0" borderId="13" xfId="38">
      <alignment vertical="center" wrapText="1"/>
    </xf>
    <xf numFmtId="0" fontId="1" fillId="9" borderId="0" xfId="39">
      <alignment horizontal="right" wrapText="1"/>
    </xf>
    <xf numFmtId="0" fontId="1" fillId="9" borderId="0" xfId="40">
      <alignment wrapText="1"/>
    </xf>
    <xf numFmtId="0" fontId="12" fillId="0" borderId="0" xfId="41">
      <alignment vertical="center" wrapText="1"/>
    </xf>
    <xf numFmtId="0" fontId="1" fillId="9" borderId="0" xfId="42">
      <alignment horizontal="right" vertical="center"/>
    </xf>
    <xf numFmtId="167" fontId="1" fillId="9" borderId="0" xfId="45">
      <alignment vertical="top" wrapText="1"/>
    </xf>
    <xf numFmtId="49" fontId="1" fillId="9" borderId="0" xfId="47">
      <alignment horizontal="right" vertical="center" wrapText="1" indent="1"/>
    </xf>
    <xf numFmtId="0" fontId="1" fillId="7" borderId="16" xfId="48">
      <alignment horizontal="center" vertical="center" wrapText="1"/>
    </xf>
    <xf numFmtId="49" fontId="1" fillId="8" borderId="16" xfId="49">
      <alignment horizontal="center" vertical="center" wrapText="1"/>
      <protection locked="0"/>
    </xf>
    <xf numFmtId="0" fontId="1" fillId="9" borderId="0" xfId="50">
      <alignment horizontal="right" vertical="center" wrapText="1" indent="1"/>
    </xf>
    <xf numFmtId="49" fontId="13" fillId="9" borderId="0" xfId="52">
      <alignment horizontal="right" vertical="center" wrapText="1"/>
    </xf>
    <xf numFmtId="49" fontId="1" fillId="7" borderId="16" xfId="53">
      <alignment horizontal="center" vertical="center" wrapText="1"/>
    </xf>
    <xf numFmtId="0" fontId="1" fillId="7" borderId="16" xfId="54">
      <alignment horizontal="center" vertical="center"/>
    </xf>
    <xf numFmtId="0" fontId="1" fillId="9" borderId="0" xfId="55">
      <alignment horizontal="right" wrapText="1" indent="2"/>
    </xf>
    <xf numFmtId="0" fontId="1" fillId="0" borderId="0" xfId="56">
      <alignment horizontal="right" vertical="center" wrapText="1" indent="1"/>
    </xf>
    <xf numFmtId="49" fontId="1" fillId="0" borderId="0" xfId="59">
      <alignment horizontal="center" vertical="center" wrapText="1"/>
    </xf>
    <xf numFmtId="0" fontId="1" fillId="9" borderId="0" xfId="60">
      <alignment horizontal="right" vertical="center" wrapText="1"/>
    </xf>
    <xf numFmtId="0" fontId="1" fillId="9" borderId="0" xfId="61">
      <alignment vertical="center" wrapText="1"/>
    </xf>
    <xf numFmtId="0" fontId="1" fillId="9" borderId="0" xfId="62">
      <alignment horizontal="center" vertical="center" wrapText="1"/>
    </xf>
    <xf numFmtId="49" fontId="1" fillId="5" borderId="16" xfId="63">
      <alignment horizontal="center" vertical="center" wrapText="1"/>
      <protection locked="0"/>
    </xf>
    <xf numFmtId="172" fontId="9" fillId="5" borderId="16" xfId="64">
      <alignment horizontal="right" vertical="center" wrapText="1" indent="1"/>
      <protection locked="0"/>
    </xf>
    <xf numFmtId="0" fontId="1" fillId="0" borderId="0" xfId="65">
      <alignment horizontal="left" wrapText="1"/>
    </xf>
    <xf numFmtId="0" fontId="1" fillId="0" borderId="0" xfId="66">
      <alignment horizontal="left" wrapText="1"/>
    </xf>
    <xf numFmtId="0" fontId="14" fillId="0" borderId="0" xfId="67">
      <alignment vertical="top"/>
    </xf>
    <xf numFmtId="0" fontId="14" fillId="0" borderId="0" xfId="68">
      <alignment vertical="top"/>
    </xf>
    <xf numFmtId="0" fontId="1" fillId="0" borderId="0" xfId="69">
      <alignment horizontal="left"/>
    </xf>
    <xf numFmtId="49" fontId="15" fillId="0" borderId="14" xfId="71">
      <alignment vertical="top"/>
    </xf>
    <xf numFmtId="0" fontId="1" fillId="0" borderId="14" xfId="72">
      <alignment horizontal="left" vertical="center" wrapText="1" indent="1"/>
    </xf>
    <xf numFmtId="0" fontId="1" fillId="0" borderId="16" xfId="73">
      <alignment horizontal="center" vertical="center" wrapText="1"/>
    </xf>
    <xf numFmtId="49" fontId="1" fillId="0" borderId="16" xfId="75">
      <alignment horizontal="center" vertical="center" wrapText="1"/>
    </xf>
    <xf numFmtId="0" fontId="1" fillId="0" borderId="16" xfId="76">
      <alignment horizontal="center" vertical="center" wrapText="1"/>
    </xf>
    <xf numFmtId="49" fontId="1" fillId="10" borderId="18" xfId="79">
      <alignment horizontal="center" vertical="center" wrapText="1"/>
    </xf>
    <xf numFmtId="49" fontId="1" fillId="0" borderId="20" xfId="80">
      <alignment horizontal="center" vertical="center" wrapText="1"/>
    </xf>
    <xf numFmtId="0" fontId="16" fillId="0" borderId="0" xfId="83">
      <alignment horizontal="center" vertical="center" wrapText="1"/>
    </xf>
    <xf numFmtId="0" fontId="16" fillId="0" borderId="0" xfId="84">
      <alignment horizontal="center" vertical="center" wrapText="1"/>
    </xf>
    <xf numFmtId="0" fontId="16" fillId="9" borderId="0" xfId="85">
      <alignment horizontal="center" vertical="center" wrapText="1"/>
    </xf>
    <xf numFmtId="0" fontId="16" fillId="9" borderId="0" xfId="86">
      <alignment horizontal="center" vertical="center" wrapText="1"/>
    </xf>
    <xf numFmtId="0" fontId="17" fillId="0" borderId="20" xfId="87">
      <alignment horizontal="center" vertical="center" wrapText="1"/>
    </xf>
    <xf numFmtId="0" fontId="17" fillId="0" borderId="20" xfId="88">
      <alignment horizontal="left" vertical="center" wrapText="1" indent="3"/>
    </xf>
    <xf numFmtId="0" fontId="1" fillId="0" borderId="20" xfId="89">
      <alignment horizontal="left" wrapText="1"/>
    </xf>
    <xf numFmtId="0" fontId="1" fillId="0" borderId="20" xfId="90">
      <alignment horizontal="left" wrapText="1"/>
    </xf>
    <xf numFmtId="0" fontId="15" fillId="0" borderId="0" xfId="91">
      <alignment horizontal="left"/>
    </xf>
    <xf numFmtId="0" fontId="1" fillId="0" borderId="20" xfId="92">
      <alignment horizontal="left" vertical="center" wrapText="1"/>
    </xf>
    <xf numFmtId="0" fontId="17" fillId="0" borderId="20" xfId="93">
      <alignment horizontal="center" vertical="center" wrapText="1"/>
    </xf>
    <xf numFmtId="49" fontId="19" fillId="11" borderId="23" xfId="95">
      <alignment horizontal="right"/>
    </xf>
    <xf numFmtId="49" fontId="20" fillId="11" borderId="24" xfId="96">
      <alignment horizontal="left" vertical="center" indent="1"/>
    </xf>
    <xf numFmtId="49" fontId="1" fillId="11" borderId="24" xfId="97">
      <alignment horizontal="right"/>
    </xf>
    <xf numFmtId="49" fontId="1" fillId="11" borderId="24" xfId="98">
      <alignment horizontal="left" indent="3"/>
    </xf>
    <xf numFmtId="49" fontId="1" fillId="11" borderId="25" xfId="99">
      <alignment horizontal="right"/>
    </xf>
    <xf numFmtId="49" fontId="1" fillId="11" borderId="26" xfId="100">
      <alignment horizontal="right"/>
    </xf>
    <xf numFmtId="4" fontId="1" fillId="7" borderId="16" xfId="104">
      <alignment horizontal="right" vertical="center" wrapText="1" indent="1"/>
    </xf>
    <xf numFmtId="0" fontId="1" fillId="0" borderId="16" xfId="105">
      <alignment vertical="center" wrapText="1"/>
    </xf>
    <xf numFmtId="3" fontId="1" fillId="7" borderId="16" xfId="106">
      <alignment horizontal="right" vertical="center" wrapText="1" indent="1"/>
    </xf>
    <xf numFmtId="0" fontId="1" fillId="0" borderId="16" xfId="107">
      <alignment vertical="center" wrapText="1"/>
    </xf>
    <xf numFmtId="0" fontId="1" fillId="0" borderId="22" xfId="108">
      <alignment horizontal="center" vertical="center" wrapText="1"/>
    </xf>
    <xf numFmtId="0" fontId="1" fillId="0" borderId="26" xfId="109">
      <alignment vertical="center" wrapText="1"/>
    </xf>
    <xf numFmtId="0" fontId="21" fillId="9" borderId="0" xfId="112">
      <alignment horizontal="center" vertical="top" wrapText="1"/>
    </xf>
    <xf numFmtId="0" fontId="22" fillId="9" borderId="0" xfId="113">
      <alignment vertical="top" wrapText="1"/>
    </xf>
    <xf numFmtId="0" fontId="1" fillId="9" borderId="18" xfId="114">
      <alignment horizontal="left" wrapText="1"/>
    </xf>
    <xf numFmtId="0" fontId="1" fillId="0" borderId="15" xfId="115">
      <alignment horizontal="left" vertical="top" wrapText="1" indent="2"/>
    </xf>
    <xf numFmtId="0" fontId="1" fillId="0" borderId="0" xfId="116">
      <alignment horizontal="left" vertical="top" wrapText="1" indent="2"/>
    </xf>
    <xf numFmtId="0" fontId="1" fillId="0" borderId="16" xfId="117">
      <alignment horizontal="left" vertical="center" wrapText="1" indent="1"/>
    </xf>
    <xf numFmtId="0" fontId="1" fillId="0" borderId="20" xfId="124">
      <alignment horizontal="center" vertical="center" wrapText="1"/>
    </xf>
    <xf numFmtId="49" fontId="1" fillId="0" borderId="30" xfId="127">
      <alignment horizontal="center" vertical="center" wrapText="1"/>
    </xf>
    <xf numFmtId="49" fontId="1" fillId="0" borderId="16" xfId="128">
      <alignment horizontal="left" vertical="center" wrapText="1" indent="1"/>
    </xf>
    <xf numFmtId="3" fontId="1" fillId="10" borderId="16" xfId="130">
      <alignment horizontal="right" vertical="center" wrapText="1" indent="1"/>
    </xf>
    <xf numFmtId="0" fontId="14" fillId="10" borderId="26" xfId="131">
      <alignment vertical="top"/>
    </xf>
    <xf numFmtId="3" fontId="1" fillId="7" borderId="30" xfId="133">
      <alignment horizontal="right" vertical="center" wrapText="1" indent="1"/>
    </xf>
    <xf numFmtId="3" fontId="1" fillId="8" borderId="16" xfId="134">
      <alignment horizontal="right" vertical="center" wrapText="1" indent="1"/>
      <protection locked="0"/>
    </xf>
    <xf numFmtId="0" fontId="21" fillId="9" borderId="0" xfId="136">
      <alignment vertical="top" wrapText="1"/>
    </xf>
    <xf numFmtId="49" fontId="23" fillId="0" borderId="0" xfId="137">
      <alignment vertical="top" wrapText="1"/>
    </xf>
    <xf numFmtId="49" fontId="1" fillId="0" borderId="1" xfId="139">
      <alignment vertical="top"/>
    </xf>
    <xf numFmtId="49" fontId="9" fillId="12" borderId="2" xfId="141">
      <alignment horizontal="center" vertical="center"/>
    </xf>
    <xf numFmtId="49" fontId="1" fillId="12" borderId="2" xfId="142">
      <alignment horizontal="center" vertical="center"/>
    </xf>
    <xf numFmtId="49" fontId="9" fillId="12" borderId="2" xfId="143">
      <alignment horizontal="center" vertical="center" wrapText="1"/>
    </xf>
    <xf numFmtId="49" fontId="24" fillId="0" borderId="31" xfId="144">
      <alignment horizontal="center" vertical="center" wrapText="1"/>
    </xf>
    <xf numFmtId="0" fontId="2" fillId="0" borderId="32" xfId="145">
      <alignment vertical="center" wrapText="1"/>
    </xf>
    <xf numFmtId="49" fontId="1" fillId="0" borderId="32" xfId="146">
      <alignment vertical="center" wrapText="1"/>
    </xf>
    <xf numFmtId="49" fontId="9" fillId="0" borderId="33" xfId="147">
      <alignment vertical="center"/>
    </xf>
    <xf numFmtId="0" fontId="1" fillId="0" borderId="0" xfId="148"/>
    <xf numFmtId="49" fontId="25" fillId="0" borderId="8" xfId="149">
      <alignment horizontal="right" vertical="center" wrapText="1" indent="1"/>
    </xf>
    <xf numFmtId="0" fontId="1" fillId="0" borderId="2" xfId="150">
      <alignment horizontal="center" vertical="center"/>
    </xf>
    <xf numFmtId="49" fontId="1" fillId="9" borderId="2" xfId="151">
      <alignment horizontal="left" vertical="center" wrapText="1" indent="1"/>
    </xf>
    <xf numFmtId="0" fontId="1" fillId="8" borderId="2" xfId="152">
      <alignment horizontal="center" vertical="center" wrapText="1"/>
      <protection locked="0"/>
    </xf>
    <xf numFmtId="49" fontId="14" fillId="5" borderId="2" xfId="153">
      <alignment horizontal="center" vertical="center" wrapText="1"/>
      <protection locked="0"/>
    </xf>
    <xf numFmtId="0" fontId="1" fillId="5" borderId="2" xfId="154">
      <alignment horizontal="center" vertical="center" wrapText="1"/>
      <protection locked="0"/>
    </xf>
    <xf numFmtId="49" fontId="20" fillId="13" borderId="26" xfId="155">
      <alignment horizontal="left" vertical="center"/>
    </xf>
    <xf numFmtId="49" fontId="20" fillId="13" borderId="14" xfId="156">
      <alignment horizontal="left" vertical="center"/>
    </xf>
    <xf numFmtId="49" fontId="20" fillId="13" borderId="27" xfId="157">
      <alignment horizontal="left" vertical="center"/>
    </xf>
    <xf numFmtId="0" fontId="2" fillId="14" borderId="16" xfId="159">
      <alignment horizontal="left" vertical="center"/>
    </xf>
    <xf numFmtId="0" fontId="2" fillId="14" borderId="16" xfId="160">
      <alignment horizontal="left"/>
    </xf>
    <xf numFmtId="49" fontId="12" fillId="15" borderId="0" xfId="161">
      <alignment horizontal="center" vertical="top"/>
    </xf>
    <xf numFmtId="0" fontId="2" fillId="14" borderId="16" xfId="162">
      <alignment horizontal="center"/>
    </xf>
    <xf numFmtId="49" fontId="2" fillId="14" borderId="16" xfId="163">
      <alignment horizontal="center" vertical="center"/>
    </xf>
    <xf numFmtId="0" fontId="26" fillId="14" borderId="0" xfId="164">
      <alignment horizontal="center" vertical="center"/>
    </xf>
    <xf numFmtId="49" fontId="2" fillId="14" borderId="16" xfId="165">
      <alignment horizontal="center" vertical="center"/>
    </xf>
    <xf numFmtId="0" fontId="27" fillId="0" borderId="0" xfId="166">
      <alignment vertical="center" wrapText="1"/>
    </xf>
    <xf numFmtId="0" fontId="1" fillId="0" borderId="0" xfId="167">
      <alignment horizontal="left" vertical="center"/>
    </xf>
    <xf numFmtId="0" fontId="4" fillId="0" borderId="0" xfId="168">
      <alignment horizontal="left"/>
    </xf>
    <xf numFmtId="0" fontId="1" fillId="16" borderId="0" xfId="169">
      <alignment horizontal="left"/>
    </xf>
    <xf numFmtId="49" fontId="1" fillId="0" borderId="0" xfId="170">
      <alignment horizontal="left"/>
    </xf>
    <xf numFmtId="49" fontId="1" fillId="16" borderId="0" xfId="171">
      <alignment horizontal="left"/>
    </xf>
    <xf numFmtId="0" fontId="1" fillId="16" borderId="0" xfId="172">
      <alignment horizontal="right"/>
    </xf>
    <xf numFmtId="49" fontId="1" fillId="0" borderId="0" xfId="173">
      <alignment vertical="top"/>
    </xf>
    <xf numFmtId="49" fontId="1" fillId="0" borderId="16" xfId="174">
      <alignment horizontal="center" vertical="center"/>
    </xf>
    <xf numFmtId="49" fontId="1" fillId="0" borderId="16" xfId="175">
      <alignment vertical="center"/>
    </xf>
    <xf numFmtId="49" fontId="1" fillId="0" borderId="16" xfId="176">
      <alignment vertical="center"/>
    </xf>
    <xf numFmtId="49" fontId="1" fillId="0" borderId="16" xfId="177">
      <alignment vertical="top"/>
    </xf>
    <xf numFmtId="0" fontId="12" fillId="15" borderId="0" xfId="178">
      <alignment horizontal="left"/>
    </xf>
    <xf numFmtId="49" fontId="1" fillId="16" borderId="0" xfId="179">
      <alignment horizontal="right"/>
    </xf>
    <xf numFmtId="0" fontId="1" fillId="0" borderId="0" xfId="180">
      <alignment vertical="top" wrapText="1"/>
    </xf>
    <xf numFmtId="49" fontId="2" fillId="14" borderId="0" xfId="181">
      <alignment vertical="center"/>
    </xf>
    <xf numFmtId="49" fontId="1" fillId="5" borderId="16" xfId="182">
      <alignment horizontal="left" vertical="center" wrapText="1"/>
      <protection locked="0"/>
    </xf>
    <xf numFmtId="0" fontId="1" fillId="5" borderId="16" xfId="183">
      <alignment horizontal="center" vertical="center" wrapText="1"/>
      <protection locked="0"/>
    </xf>
    <xf numFmtId="1" fontId="1" fillId="5" borderId="26" xfId="184">
      <alignment horizontal="right" vertical="center" wrapText="1"/>
      <protection locked="0"/>
    </xf>
    <xf numFmtId="0" fontId="1" fillId="8" borderId="27" xfId="185">
      <alignment horizontal="center" vertical="center" wrapText="1"/>
      <protection locked="0"/>
    </xf>
    <xf numFmtId="171" fontId="1" fillId="8" borderId="16" xfId="186">
      <alignment horizontal="right" vertical="center" wrapText="1" indent="1"/>
      <protection locked="0"/>
    </xf>
    <xf numFmtId="4" fontId="1" fillId="8" borderId="16" xfId="187">
      <alignment horizontal="right" vertical="center" wrapText="1" indent="1"/>
      <protection locked="0"/>
    </xf>
    <xf numFmtId="49" fontId="1" fillId="5" borderId="16" xfId="188">
      <alignment horizontal="right" vertical="center" wrapText="1"/>
      <protection locked="0"/>
    </xf>
    <xf numFmtId="49" fontId="1" fillId="8" borderId="16" xfId="189">
      <alignment horizontal="right" vertical="center" wrapText="1" indent="1"/>
      <protection locked="0"/>
    </xf>
    <xf numFmtId="49" fontId="1" fillId="5" borderId="16" xfId="190">
      <alignment horizontal="right" vertical="center" wrapText="1"/>
      <protection locked="0"/>
    </xf>
    <xf numFmtId="0" fontId="26" fillId="0" borderId="0" xfId="191">
      <alignment horizontal="left"/>
    </xf>
    <xf numFmtId="0" fontId="1" fillId="5" borderId="27" xfId="192">
      <alignment horizontal="center" vertical="center" wrapText="1"/>
      <protection locked="0"/>
    </xf>
    <xf numFmtId="171" fontId="1" fillId="5" borderId="16" xfId="193">
      <alignment horizontal="right" vertical="center" wrapText="1" indent="1"/>
      <protection locked="0"/>
    </xf>
    <xf numFmtId="3" fontId="1" fillId="5" borderId="16" xfId="194">
      <alignment horizontal="right" vertical="center" wrapText="1" indent="1"/>
      <protection locked="0"/>
    </xf>
    <xf numFmtId="3" fontId="1" fillId="5" borderId="16" xfId="195">
      <alignment horizontal="right" vertical="center" wrapText="1" indent="1"/>
      <protection locked="0"/>
    </xf>
    <xf numFmtId="49" fontId="1" fillId="5" borderId="16" xfId="196">
      <alignment horizontal="right" vertical="center" wrapText="1" indent="1"/>
      <protection locked="0"/>
    </xf>
    <xf numFmtId="0" fontId="1" fillId="5" borderId="27" xfId="197">
      <alignment horizontal="center" vertical="center" wrapText="1"/>
      <protection locked="0"/>
    </xf>
    <xf numFmtId="49" fontId="1" fillId="0" borderId="16" xfId="198">
      <alignment horizontal="left" vertical="center" wrapText="1"/>
    </xf>
    <xf numFmtId="49" fontId="1" fillId="8" borderId="16" xfId="199">
      <alignment horizontal="left" vertical="center" wrapText="1" indent="1"/>
      <protection locked="0"/>
    </xf>
    <xf numFmtId="49" fontId="1" fillId="5" borderId="16" xfId="200">
      <alignment horizontal="left" vertical="center" wrapText="1" indent="1"/>
      <protection locked="0"/>
    </xf>
    <xf numFmtId="168" fontId="1" fillId="5" borderId="16" xfId="201">
      <alignment horizontal="right" vertical="center" wrapText="1" indent="1"/>
      <protection locked="0"/>
    </xf>
    <xf numFmtId="168" fontId="1" fillId="7" borderId="16" xfId="202">
      <alignment horizontal="right" vertical="center" wrapText="1" indent="1"/>
    </xf>
    <xf numFmtId="49" fontId="1" fillId="8" borderId="2" xfId="203">
      <alignment horizontal="left" vertical="center" wrapText="1" indent="1"/>
      <protection locked="0"/>
    </xf>
    <xf numFmtId="0" fontId="28" fillId="0" borderId="0" xfId="204"/>
    <xf numFmtId="169" fontId="1" fillId="9" borderId="0" xfId="205">
      <alignment vertical="top" wrapText="1"/>
    </xf>
    <xf numFmtId="169" fontId="1" fillId="9" borderId="0" xfId="206">
      <alignment horizontal="center" vertical="center" wrapText="1"/>
    </xf>
    <xf numFmtId="49" fontId="1" fillId="0" borderId="18" xfId="208">
      <alignment vertical="top"/>
    </xf>
    <xf numFmtId="1" fontId="1" fillId="0" borderId="14" xfId="209">
      <alignment vertical="center" wrapText="1"/>
    </xf>
    <xf numFmtId="0" fontId="1" fillId="0" borderId="14" xfId="210">
      <alignment vertical="center" wrapText="1"/>
    </xf>
    <xf numFmtId="169" fontId="1" fillId="0" borderId="20" xfId="214">
      <alignment horizontal="center" vertical="center" wrapText="1"/>
    </xf>
    <xf numFmtId="49" fontId="1" fillId="0" borderId="14" xfId="216">
      <alignment horizontal="center" vertical="top" wrapText="1"/>
    </xf>
    <xf numFmtId="3" fontId="1" fillId="0" borderId="14" xfId="217">
      <alignment horizontal="center" vertical="top" wrapText="1"/>
    </xf>
    <xf numFmtId="0" fontId="1" fillId="0" borderId="14" xfId="218">
      <alignment horizontal="center" vertical="top" wrapText="1"/>
    </xf>
    <xf numFmtId="3" fontId="1" fillId="0" borderId="14" xfId="219">
      <alignment horizontal="right" vertical="top" wrapText="1"/>
    </xf>
    <xf numFmtId="49" fontId="1" fillId="6" borderId="30" xfId="220">
      <alignment horizontal="center" vertical="center" wrapText="1"/>
    </xf>
    <xf numFmtId="49" fontId="1" fillId="6" borderId="22" xfId="221">
      <alignment vertical="top" wrapText="1"/>
    </xf>
    <xf numFmtId="168" fontId="1" fillId="0" borderId="22" xfId="222">
      <alignment horizontal="right" vertical="center" wrapText="1"/>
    </xf>
    <xf numFmtId="168" fontId="1" fillId="7" borderId="22" xfId="223">
      <alignment horizontal="right" vertical="center" wrapText="1"/>
    </xf>
    <xf numFmtId="49" fontId="1" fillId="6" borderId="16" xfId="224">
      <alignment horizontal="center" vertical="center" wrapText="1"/>
    </xf>
    <xf numFmtId="168" fontId="1" fillId="0" borderId="16" xfId="225">
      <alignment horizontal="right" vertical="center" wrapText="1"/>
    </xf>
    <xf numFmtId="3" fontId="1" fillId="0" borderId="16" xfId="226">
      <alignment horizontal="right" vertical="center" wrapText="1"/>
    </xf>
    <xf numFmtId="49" fontId="1" fillId="0" borderId="16" xfId="227">
      <alignment horizontal="left" vertical="top" wrapText="1" indent="1"/>
    </xf>
    <xf numFmtId="10" fontId="1" fillId="5" borderId="16" xfId="228">
      <alignment horizontal="right" vertical="center" wrapText="1"/>
      <protection locked="0"/>
    </xf>
    <xf numFmtId="3" fontId="1" fillId="7" borderId="16" xfId="229">
      <alignment horizontal="right" vertical="center" wrapText="1"/>
    </xf>
    <xf numFmtId="3" fontId="1" fillId="5" borderId="16" xfId="230">
      <alignment horizontal="right" vertical="center" wrapText="1"/>
      <protection locked="0"/>
    </xf>
    <xf numFmtId="2" fontId="1" fillId="0" borderId="16" xfId="231">
      <alignment horizontal="right" vertical="center" wrapText="1"/>
    </xf>
    <xf numFmtId="2" fontId="1" fillId="9" borderId="16" xfId="232">
      <alignment horizontal="right" vertical="center" wrapText="1"/>
    </xf>
    <xf numFmtId="49" fontId="1" fillId="0" borderId="16" xfId="233">
      <alignment horizontal="left" vertical="top" wrapText="1" indent="2"/>
    </xf>
    <xf numFmtId="1" fontId="1" fillId="5" borderId="16" xfId="234">
      <alignment horizontal="right" vertical="center" wrapText="1"/>
      <protection locked="0"/>
    </xf>
    <xf numFmtId="49" fontId="1" fillId="6" borderId="16" xfId="235">
      <alignment vertical="top" wrapText="1"/>
    </xf>
    <xf numFmtId="168" fontId="1" fillId="7" borderId="16" xfId="236">
      <alignment horizontal="right" vertical="center" wrapText="1"/>
    </xf>
    <xf numFmtId="4" fontId="1" fillId="0" borderId="16" xfId="237">
      <alignment horizontal="right" vertical="center" wrapText="1"/>
    </xf>
    <xf numFmtId="49" fontId="1" fillId="0" borderId="16" xfId="238">
      <alignment vertical="top" wrapText="1"/>
    </xf>
    <xf numFmtId="0" fontId="1" fillId="0" borderId="16" xfId="239">
      <alignment horizontal="left" vertical="top" wrapText="1" indent="1"/>
    </xf>
    <xf numFmtId="0" fontId="1" fillId="9" borderId="0" xfId="241">
      <alignment vertical="top" wrapText="1"/>
    </xf>
    <xf numFmtId="0" fontId="2" fillId="9" borderId="0" xfId="242">
      <alignment horizontal="left" vertical="top" indent="1"/>
    </xf>
    <xf numFmtId="0" fontId="2" fillId="9" borderId="0" xfId="243">
      <alignment horizontal="right" vertical="top"/>
    </xf>
    <xf numFmtId="49" fontId="21" fillId="9" borderId="0" xfId="244">
      <alignment vertical="top" wrapText="1"/>
    </xf>
    <xf numFmtId="1" fontId="1" fillId="9" borderId="0" xfId="245">
      <alignment horizontal="center" vertical="center" wrapText="1"/>
    </xf>
    <xf numFmtId="1" fontId="1" fillId="0" borderId="15" xfId="247">
      <alignment vertical="center" wrapText="1"/>
    </xf>
    <xf numFmtId="0" fontId="1" fillId="0" borderId="15" xfId="248">
      <alignment vertical="center" wrapText="1"/>
    </xf>
    <xf numFmtId="0" fontId="1" fillId="6" borderId="16" xfId="252">
      <alignment vertical="center" wrapText="1"/>
    </xf>
    <xf numFmtId="4" fontId="1" fillId="5" borderId="16" xfId="253">
      <alignment horizontal="right" vertical="center" wrapText="1"/>
      <protection locked="0"/>
    </xf>
    <xf numFmtId="4" fontId="1" fillId="7" borderId="16" xfId="254">
      <alignment horizontal="right" vertical="center" wrapText="1"/>
    </xf>
    <xf numFmtId="0" fontId="1" fillId="0" borderId="16" xfId="255">
      <alignment horizontal="left" vertical="center" wrapText="1" indent="2"/>
    </xf>
    <xf numFmtId="0" fontId="1" fillId="6" borderId="16" xfId="256">
      <alignment horizontal="left" vertical="center" wrapText="1"/>
    </xf>
    <xf numFmtId="172" fontId="1" fillId="0" borderId="16" xfId="257">
      <alignment horizontal="right" vertical="center" wrapText="1"/>
    </xf>
    <xf numFmtId="173" fontId="2" fillId="9" borderId="0" xfId="258">
      <alignment horizontal="center" wrapText="1"/>
    </xf>
    <xf numFmtId="49" fontId="1" fillId="0" borderId="14" xfId="259">
      <alignment horizontal="center" vertical="center" wrapText="1"/>
    </xf>
    <xf numFmtId="49" fontId="1" fillId="9" borderId="0" xfId="260">
      <alignment horizontal="center" vertical="top" wrapText="1"/>
    </xf>
    <xf numFmtId="49" fontId="1" fillId="6" borderId="22" xfId="261">
      <alignment horizontal="center" vertical="center" wrapText="1"/>
    </xf>
    <xf numFmtId="0" fontId="1" fillId="6" borderId="22" xfId="262">
      <alignment vertical="center" wrapText="1"/>
    </xf>
    <xf numFmtId="3" fontId="1" fillId="7" borderId="22" xfId="263">
      <alignment horizontal="right" vertical="center" wrapText="1"/>
    </xf>
    <xf numFmtId="168" fontId="1" fillId="9" borderId="0" xfId="264">
      <alignment horizontal="center" vertical="center" wrapText="1"/>
    </xf>
    <xf numFmtId="170" fontId="1" fillId="5" borderId="16" xfId="265">
      <alignment horizontal="right" vertical="center" wrapText="1"/>
      <protection locked="0"/>
    </xf>
    <xf numFmtId="170" fontId="1" fillId="0" borderId="16" xfId="266">
      <alignment horizontal="right" vertical="center" wrapText="1"/>
    </xf>
    <xf numFmtId="173" fontId="1" fillId="0" borderId="16" xfId="267">
      <alignment horizontal="right" vertical="center" wrapText="1"/>
    </xf>
    <xf numFmtId="0" fontId="2" fillId="9" borderId="0" xfId="268">
      <alignment horizontal="center" vertical="center"/>
    </xf>
    <xf numFmtId="0" fontId="1" fillId="10" borderId="16" xfId="270">
      <alignment horizontal="center" vertical="center" wrapText="1"/>
    </xf>
    <xf numFmtId="0" fontId="1" fillId="0" borderId="16" xfId="271">
      <alignment horizontal="left" vertical="center" wrapText="1"/>
    </xf>
    <xf numFmtId="172" fontId="1" fillId="7" borderId="16" xfId="272">
      <alignment horizontal="right" vertical="center" wrapText="1" indent="1"/>
    </xf>
    <xf numFmtId="0" fontId="1" fillId="0" borderId="0" xfId="274">
      <alignment horizontal="center" vertical="center"/>
    </xf>
    <xf numFmtId="169" fontId="13" fillId="9" borderId="0" xfId="275">
      <alignment horizontal="center" vertical="center"/>
    </xf>
    <xf numFmtId="0" fontId="1" fillId="9" borderId="18" xfId="276">
      <alignment wrapText="1"/>
    </xf>
    <xf numFmtId="0" fontId="1" fillId="0" borderId="15" xfId="277">
      <alignment vertical="top" wrapText="1"/>
    </xf>
    <xf numFmtId="0" fontId="1" fillId="0" borderId="0" xfId="278">
      <alignment vertical="top"/>
    </xf>
    <xf numFmtId="3" fontId="1" fillId="8" borderId="16" xfId="279">
      <alignment horizontal="right" vertical="center" indent="1"/>
      <protection locked="0"/>
    </xf>
    <xf numFmtId="168" fontId="2" fillId="7" borderId="22" xfId="282">
      <alignment horizontal="right" vertical="center" wrapText="1" indent="1"/>
    </xf>
    <xf numFmtId="49" fontId="1" fillId="0" borderId="34" xfId="283"/>
    <xf numFmtId="0" fontId="1" fillId="0" borderId="32" xfId="284">
      <alignment vertical="top" wrapText="1"/>
    </xf>
    <xf numFmtId="0" fontId="15" fillId="0" borderId="0" xfId="285"/>
    <xf numFmtId="168" fontId="1" fillId="5" borderId="16" xfId="286">
      <alignment horizontal="right" vertical="center" indent="1"/>
      <protection locked="0"/>
    </xf>
    <xf numFmtId="172" fontId="1" fillId="5" borderId="16" xfId="287">
      <alignment horizontal="right" vertical="center" indent="1"/>
      <protection locked="0"/>
    </xf>
    <xf numFmtId="168" fontId="1" fillId="7" borderId="16" xfId="288">
      <alignment horizontal="right" vertical="center" wrapText="1" indent="1"/>
      <protection locked="0"/>
    </xf>
    <xf numFmtId="49" fontId="1" fillId="0" borderId="20" xfId="289">
      <alignment horizontal="left" vertical="center" wrapText="1" indent="1"/>
    </xf>
    <xf numFmtId="49" fontId="1" fillId="0" borderId="26" xfId="290">
      <alignment horizontal="center" vertical="center" wrapText="1"/>
    </xf>
    <xf numFmtId="168" fontId="9" fillId="5" borderId="16" xfId="291">
      <alignment horizontal="right" vertical="center" wrapText="1" indent="1"/>
      <protection locked="0"/>
    </xf>
    <xf numFmtId="172" fontId="1" fillId="7" borderId="16" xfId="292">
      <alignment horizontal="right" vertical="center" wrapText="1" indent="1"/>
      <protection locked="0"/>
    </xf>
    <xf numFmtId="0" fontId="1" fillId="7" borderId="16" xfId="293">
      <alignment horizontal="right" vertical="center" wrapText="1" indent="1"/>
    </xf>
    <xf numFmtId="0" fontId="1" fillId="7" borderId="16" xfId="294">
      <alignment horizontal="right" vertical="center" wrapText="1" indent="1"/>
      <protection locked="0"/>
    </xf>
    <xf numFmtId="4" fontId="1" fillId="5" borderId="16" xfId="295">
      <alignment horizontal="right" vertical="center" wrapText="1" indent="1"/>
      <protection locked="0"/>
    </xf>
    <xf numFmtId="1" fontId="1" fillId="7" borderId="16" xfId="296">
      <alignment horizontal="right" vertical="center" wrapText="1" indent="1"/>
    </xf>
    <xf numFmtId="9" fontId="1" fillId="7" borderId="16" xfId="297">
      <alignment horizontal="right" vertical="center" wrapText="1" indent="1"/>
    </xf>
    <xf numFmtId="3" fontId="1" fillId="5" borderId="27" xfId="299">
      <alignment horizontal="center" vertical="center" wrapText="1"/>
      <protection locked="0"/>
    </xf>
    <xf numFmtId="3" fontId="1" fillId="5" borderId="16" xfId="300">
      <alignment horizontal="left" vertical="center" wrapText="1"/>
      <protection locked="0"/>
    </xf>
    <xf numFmtId="170" fontId="1" fillId="7" borderId="16" xfId="301">
      <alignment horizontal="right" vertical="center" wrapText="1" indent="1"/>
    </xf>
    <xf numFmtId="10" fontId="1" fillId="5" borderId="16" xfId="302">
      <alignment horizontal="right" vertical="center" wrapText="1" indent="1"/>
      <protection locked="0"/>
    </xf>
    <xf numFmtId="0" fontId="1" fillId="10" borderId="0" xfId="303"/>
    <xf numFmtId="168" fontId="1" fillId="8" borderId="16" xfId="304">
      <alignment horizontal="right" vertical="center" wrapText="1" indent="1"/>
      <protection locked="0"/>
    </xf>
    <xf numFmtId="49" fontId="1" fillId="8" borderId="16" xfId="305">
      <alignment horizontal="left" vertical="center" wrapText="1"/>
      <protection locked="0"/>
    </xf>
    <xf numFmtId="10" fontId="1" fillId="7" borderId="16" xfId="306">
      <alignment horizontal="right" vertical="center" wrapText="1" indent="1"/>
    </xf>
    <xf numFmtId="49" fontId="1" fillId="17" borderId="16" xfId="312">
      <alignment horizontal="center" vertical="center" wrapText="1"/>
    </xf>
    <xf numFmtId="0" fontId="29" fillId="0" borderId="0" xfId="313">
      <alignment horizontal="center" vertical="center" wrapText="1"/>
    </xf>
    <xf numFmtId="0" fontId="1" fillId="0" borderId="16" xfId="314">
      <alignment horizontal="right" vertical="center" wrapText="1" indent="1"/>
    </xf>
    <xf numFmtId="172" fontId="1" fillId="0" borderId="16" xfId="315">
      <alignment horizontal="right" vertical="center" wrapText="1" indent="1"/>
    </xf>
    <xf numFmtId="49" fontId="30" fillId="9" borderId="0" xfId="316">
      <alignment horizontal="left" vertical="top" wrapText="1"/>
    </xf>
    <xf numFmtId="49" fontId="1" fillId="9" borderId="0" xfId="317">
      <alignment vertical="top"/>
    </xf>
    <xf numFmtId="49" fontId="1" fillId="7" borderId="16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49" fontId="1" fillId="7" borderId="17" xfId="58" applyFill="1" applyProtection="1">
      <alignment horizontal="center" vertical="center" wrapText="1"/>
    </xf>
    <xf numFmtId="49" fontId="1" fillId="7" borderId="16" xfId="49" applyFill="1" applyProtection="1">
      <alignment horizontal="center" vertical="center" wrapText="1"/>
    </xf>
    <xf numFmtId="0" fontId="31" fillId="0" borderId="0" xfId="0" applyFont="1">
      <alignment vertical="top"/>
    </xf>
    <xf numFmtId="49" fontId="25" fillId="0" borderId="8" xfId="0" applyNumberFormat="1" applyFont="1" applyBorder="1" applyAlignment="1">
      <alignment horizontal="right" vertical="center" wrapText="1" indent="1"/>
    </xf>
    <xf numFmtId="49" fontId="1" fillId="0" borderId="16" xfId="0" applyNumberFormat="1" applyFont="1" applyBorder="1" applyAlignment="1">
      <alignment horizontal="center" vertical="center" wrapText="1"/>
    </xf>
    <xf numFmtId="49" fontId="1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1" fontId="1" fillId="5" borderId="26" xfId="0" applyNumberFormat="1" applyFont="1" applyFill="1" applyBorder="1" applyAlignment="1" applyProtection="1">
      <alignment horizontal="right" vertical="center" wrapText="1"/>
      <protection locked="0"/>
    </xf>
    <xf numFmtId="49" fontId="1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7" xfId="0" applyFont="1" applyFill="1" applyBorder="1" applyAlignment="1" applyProtection="1">
      <alignment horizontal="center" vertical="center" wrapText="1"/>
      <protection locked="0"/>
    </xf>
    <xf numFmtId="171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" fillId="7" borderId="16" xfId="0" applyNumberFormat="1" applyFont="1" applyFill="1" applyBorder="1" applyAlignment="1">
      <alignment horizontal="right" vertical="center" wrapText="1" indent="1"/>
    </xf>
    <xf numFmtId="3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" fillId="5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8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Alignment="1">
      <alignment horizontal="left"/>
    </xf>
    <xf numFmtId="49" fontId="1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171" fontId="1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9" fillId="5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94" applyFont="1">
      <alignment vertical="center"/>
    </xf>
    <xf numFmtId="49" fontId="33" fillId="8" borderId="26" xfId="135" applyFont="1">
      <alignment vertical="top"/>
      <protection locked="0"/>
    </xf>
    <xf numFmtId="0" fontId="6" fillId="0" borderId="0" xfId="12">
      <alignment vertical="center" wrapText="1"/>
    </xf>
    <xf numFmtId="0" fontId="0" fillId="0" borderId="0" xfId="0">
      <alignment vertical="top"/>
    </xf>
    <xf numFmtId="0" fontId="6" fillId="0" borderId="0" xfId="13">
      <alignment vertical="center"/>
    </xf>
    <xf numFmtId="0" fontId="4" fillId="3" borderId="4" xfId="14">
      <alignment horizontal="center" vertical="center" wrapText="1"/>
    </xf>
    <xf numFmtId="0" fontId="4" fillId="3" borderId="5" xfId="15">
      <alignment horizontal="center" vertical="center" wrapText="1"/>
    </xf>
    <xf numFmtId="0" fontId="4" fillId="3" borderId="6" xfId="16">
      <alignment horizontal="center" vertical="center" wrapText="1"/>
    </xf>
    <xf numFmtId="0" fontId="4" fillId="4" borderId="7" xfId="17">
      <alignment horizontal="right" vertical="center" wrapText="1" indent="1"/>
    </xf>
    <xf numFmtId="0" fontId="4" fillId="4" borderId="8" xfId="18">
      <alignment horizontal="right" vertical="center" wrapText="1" indent="1"/>
    </xf>
    <xf numFmtId="0" fontId="4" fillId="4" borderId="0" xfId="26">
      <alignment horizontal="right" vertical="center" wrapText="1" indent="1"/>
    </xf>
    <xf numFmtId="0" fontId="10" fillId="0" borderId="7" xfId="21">
      <alignment vertical="center" wrapText="1"/>
    </xf>
    <xf numFmtId="0" fontId="10" fillId="0" borderId="7" xfId="23">
      <alignment horizontal="left" vertical="center" wrapText="1"/>
    </xf>
    <xf numFmtId="0" fontId="4" fillId="4" borderId="9" xfId="29">
      <alignment horizontal="right" vertical="center" wrapText="1" indent="1"/>
    </xf>
    <xf numFmtId="0" fontId="4" fillId="4" borderId="11" xfId="30">
      <alignment horizontal="right" vertical="center" wrapText="1" indent="1"/>
    </xf>
    <xf numFmtId="0" fontId="10" fillId="0" borderId="0" xfId="32">
      <alignment vertical="center" wrapText="1"/>
    </xf>
    <xf numFmtId="0" fontId="4" fillId="4" borderId="12" xfId="34">
      <alignment horizontal="right" vertical="center" wrapText="1" indent="1"/>
    </xf>
    <xf numFmtId="0" fontId="4" fillId="4" borderId="13" xfId="35">
      <alignment horizontal="right" vertical="center" wrapText="1" indent="1"/>
    </xf>
    <xf numFmtId="0" fontId="10" fillId="0" borderId="0" xfId="33">
      <alignment vertical="top" wrapText="1"/>
    </xf>
    <xf numFmtId="0" fontId="6" fillId="0" borderId="0" xfId="10">
      <alignment vertical="center" wrapText="1"/>
    </xf>
    <xf numFmtId="0" fontId="1" fillId="0" borderId="14" xfId="43">
      <alignment horizontal="center" vertical="center" wrapText="1"/>
    </xf>
    <xf numFmtId="167" fontId="1" fillId="9" borderId="15" xfId="44">
      <alignment horizontal="right" vertical="top" wrapText="1"/>
    </xf>
    <xf numFmtId="167" fontId="1" fillId="9" borderId="0" xfId="46">
      <alignment horizontal="right" vertical="top" wrapText="1"/>
    </xf>
    <xf numFmtId="49" fontId="1" fillId="0" borderId="1" xfId="1">
      <alignment horizontal="left" vertical="center" wrapText="1" indent="1"/>
    </xf>
    <xf numFmtId="49" fontId="2" fillId="0" borderId="1" xfId="3">
      <alignment horizontal="left" vertical="center" wrapText="1" indent="1"/>
    </xf>
    <xf numFmtId="0" fontId="21" fillId="9" borderId="0" xfId="112">
      <alignment horizontal="center" vertical="top" wrapText="1"/>
    </xf>
    <xf numFmtId="0" fontId="1" fillId="9" borderId="18" xfId="114">
      <alignment horizontal="left" wrapText="1"/>
    </xf>
    <xf numFmtId="49" fontId="1" fillId="0" borderId="18" xfId="240">
      <alignment horizontal="left"/>
    </xf>
    <xf numFmtId="0" fontId="1" fillId="0" borderId="0" xfId="116">
      <alignment horizontal="left" vertical="top" wrapText="1" indent="2"/>
    </xf>
    <xf numFmtId="49" fontId="1" fillId="0" borderId="14" xfId="207">
      <alignment horizontal="left" vertical="center" indent="1"/>
    </xf>
    <xf numFmtId="49" fontId="1" fillId="0" borderId="16" xfId="75">
      <alignment horizontal="center" vertical="center" wrapText="1"/>
    </xf>
    <xf numFmtId="49" fontId="1" fillId="0" borderId="20" xfId="80">
      <alignment horizontal="center" vertical="center" wrapText="1"/>
    </xf>
    <xf numFmtId="1" fontId="1" fillId="0" borderId="16" xfId="211">
      <alignment horizontal="center" vertical="center" wrapText="1"/>
    </xf>
    <xf numFmtId="169" fontId="1" fillId="0" borderId="22" xfId="212">
      <alignment horizontal="center" vertical="center" wrapText="1"/>
    </xf>
    <xf numFmtId="169" fontId="1" fillId="0" borderId="20" xfId="214">
      <alignment horizontal="center" vertical="center" wrapText="1"/>
    </xf>
    <xf numFmtId="0" fontId="1" fillId="0" borderId="22" xfId="108">
      <alignment horizontal="center" vertical="center" wrapText="1"/>
    </xf>
    <xf numFmtId="0" fontId="1" fillId="0" borderId="20" xfId="124">
      <alignment horizontal="center" vertical="center" wrapText="1"/>
    </xf>
    <xf numFmtId="169" fontId="1" fillId="0" borderId="22" xfId="213">
      <alignment horizontal="right" vertical="center" wrapText="1"/>
    </xf>
    <xf numFmtId="169" fontId="1" fillId="0" borderId="20" xfId="215">
      <alignment horizontal="right" vertical="center" wrapText="1"/>
    </xf>
    <xf numFmtId="49" fontId="1" fillId="0" borderId="14" xfId="246">
      <alignment horizontal="left" vertical="center" wrapText="1" indent="1"/>
    </xf>
    <xf numFmtId="1" fontId="1" fillId="0" borderId="26" xfId="249">
      <alignment horizontal="center" vertical="center" wrapText="1"/>
    </xf>
    <xf numFmtId="1" fontId="1" fillId="0" borderId="14" xfId="250">
      <alignment horizontal="center" vertical="center" wrapText="1"/>
    </xf>
    <xf numFmtId="1" fontId="1" fillId="0" borderId="27" xfId="251">
      <alignment horizontal="center" vertical="center" wrapText="1"/>
    </xf>
    <xf numFmtId="49" fontId="1" fillId="0" borderId="22" xfId="82">
      <alignment horizontal="center" vertical="center" wrapText="1"/>
    </xf>
    <xf numFmtId="0" fontId="1" fillId="0" borderId="16" xfId="73">
      <alignment horizontal="center" vertical="center" wrapText="1"/>
    </xf>
    <xf numFmtId="0" fontId="15" fillId="0" borderId="14" xfId="269">
      <alignment horizontal="left" vertical="center" wrapText="1" indent="1"/>
    </xf>
    <xf numFmtId="0" fontId="1" fillId="0" borderId="0" xfId="273">
      <alignment horizontal="left" vertical="top" wrapText="1"/>
    </xf>
    <xf numFmtId="0" fontId="1" fillId="0" borderId="14" xfId="70">
      <alignment horizontal="left" vertical="center" wrapText="1" indent="1"/>
    </xf>
    <xf numFmtId="0" fontId="1" fillId="0" borderId="16" xfId="74">
      <alignment horizontal="center" vertical="center"/>
    </xf>
    <xf numFmtId="0" fontId="1" fillId="0" borderId="26" xfId="101">
      <alignment horizontal="left" vertical="center" wrapText="1"/>
    </xf>
    <xf numFmtId="0" fontId="1" fillId="0" borderId="14" xfId="102">
      <alignment horizontal="left" vertical="center" wrapText="1"/>
    </xf>
    <xf numFmtId="0" fontId="1" fillId="0" borderId="27" xfId="103">
      <alignment horizontal="left" vertical="center" wrapText="1"/>
    </xf>
    <xf numFmtId="0" fontId="1" fillId="0" borderId="26" xfId="110">
      <alignment horizontal="left" vertical="center" wrapText="1" indent="1"/>
    </xf>
    <xf numFmtId="0" fontId="1" fillId="0" borderId="27" xfId="111">
      <alignment horizontal="left" vertical="center" wrapText="1" indent="1"/>
    </xf>
    <xf numFmtId="49" fontId="1" fillId="0" borderId="21" xfId="81">
      <alignment horizontal="center" vertical="center" wrapText="1"/>
    </xf>
    <xf numFmtId="49" fontId="1" fillId="10" borderId="18" xfId="77">
      <alignment horizontal="center" vertical="center" wrapText="1"/>
    </xf>
    <xf numFmtId="49" fontId="1" fillId="10" borderId="19" xfId="78">
      <alignment horizontal="center" vertical="center" wrapText="1"/>
    </xf>
    <xf numFmtId="0" fontId="1" fillId="0" borderId="16" xfId="76">
      <alignment horizontal="center" vertical="center" wrapText="1"/>
    </xf>
    <xf numFmtId="0" fontId="1" fillId="0" borderId="16" xfId="117">
      <alignment horizontal="left" vertical="center" wrapText="1" indent="1"/>
    </xf>
    <xf numFmtId="0" fontId="1" fillId="0" borderId="28" xfId="118">
      <alignment horizontal="left" vertical="center" wrapText="1" indent="1"/>
    </xf>
    <xf numFmtId="0" fontId="1" fillId="0" borderId="29" xfId="121">
      <alignment horizontal="left" vertical="center" wrapText="1" indent="1"/>
    </xf>
    <xf numFmtId="0" fontId="1" fillId="0" borderId="30" xfId="123">
      <alignment horizontal="left" vertical="center" wrapText="1" indent="1"/>
    </xf>
    <xf numFmtId="0" fontId="1" fillId="0" borderId="30" xfId="122">
      <alignment horizontal="center" vertical="center" wrapText="1"/>
    </xf>
    <xf numFmtId="0" fontId="1" fillId="0" borderId="28" xfId="125">
      <alignment horizontal="center" vertical="center" wrapText="1"/>
    </xf>
    <xf numFmtId="0" fontId="1" fillId="0" borderId="26" xfId="119">
      <alignment horizontal="center" vertical="center" wrapText="1"/>
    </xf>
    <xf numFmtId="0" fontId="2" fillId="0" borderId="16" xfId="120">
      <alignment horizontal="center" vertical="center" wrapText="1"/>
    </xf>
    <xf numFmtId="0" fontId="2" fillId="0" borderId="20" xfId="126">
      <alignment horizontal="center" vertical="center" wrapText="1"/>
    </xf>
    <xf numFmtId="0" fontId="11" fillId="0" borderId="16" xfId="132">
      <alignment horizontal="center" vertical="center" wrapText="1"/>
    </xf>
    <xf numFmtId="0" fontId="2" fillId="0" borderId="16" xfId="280">
      <alignment horizontal="right" vertical="center" wrapText="1"/>
    </xf>
    <xf numFmtId="0" fontId="1" fillId="0" borderId="16" xfId="105">
      <alignment vertical="center" wrapText="1"/>
    </xf>
    <xf numFmtId="0" fontId="2" fillId="0" borderId="22" xfId="281">
      <alignment horizontal="right" vertical="center" wrapText="1"/>
    </xf>
    <xf numFmtId="0" fontId="1" fillId="10" borderId="16" xfId="270">
      <alignment horizontal="center" vertical="center" wrapText="1"/>
    </xf>
    <xf numFmtId="0" fontId="1" fillId="0" borderId="27" xfId="298">
      <alignment horizontal="center" vertical="center" wrapText="1"/>
    </xf>
    <xf numFmtId="0" fontId="15" fillId="0" borderId="14" xfId="307">
      <alignment horizontal="center" vertical="center" wrapText="1"/>
    </xf>
    <xf numFmtId="49" fontId="1" fillId="0" borderId="26" xfId="290">
      <alignment horizontal="center" vertical="center" wrapText="1"/>
    </xf>
    <xf numFmtId="49" fontId="1" fillId="0" borderId="27" xfId="311">
      <alignment horizontal="center" vertical="center" wrapText="1"/>
    </xf>
    <xf numFmtId="49" fontId="1" fillId="17" borderId="26" xfId="308">
      <alignment horizontal="center" vertical="center" wrapText="1"/>
    </xf>
    <xf numFmtId="49" fontId="1" fillId="17" borderId="14" xfId="309">
      <alignment horizontal="center" vertical="center" wrapText="1"/>
    </xf>
    <xf numFmtId="49" fontId="1" fillId="17" borderId="27" xfId="310">
      <alignment horizontal="center" vertical="center" wrapText="1"/>
    </xf>
    <xf numFmtId="49" fontId="1" fillId="0" borderId="1" xfId="138">
      <alignment horizontal="left" vertical="center" indent="1"/>
    </xf>
    <xf numFmtId="49" fontId="1" fillId="9" borderId="0" xfId="140">
      <alignment horizontal="center" vertical="center"/>
    </xf>
    <xf numFmtId="49" fontId="1" fillId="12" borderId="0" xfId="158">
      <alignment horizontal="left" vertical="center" wrapText="1"/>
    </xf>
  </cellXfs>
  <cellStyles count="318">
    <cellStyle name="s317" xfId="1" xr:uid="{00000000-0005-0000-0000-000001000000}"/>
    <cellStyle name="s318" xfId="2" xr:uid="{00000000-0005-0000-0000-000002000000}"/>
    <cellStyle name="s319" xfId="3" xr:uid="{00000000-0005-0000-0000-000003000000}"/>
    <cellStyle name="s320" xfId="4" xr:uid="{00000000-0005-0000-0000-000004000000}"/>
    <cellStyle name="s321" xfId="5" xr:uid="{00000000-0005-0000-0000-000005000000}"/>
    <cellStyle name="s322" xfId="6" xr:uid="{00000000-0005-0000-0000-000006000000}"/>
    <cellStyle name="s323" xfId="7" xr:uid="{00000000-0005-0000-0000-000007000000}"/>
    <cellStyle name="s324" xfId="8" xr:uid="{00000000-0005-0000-0000-000008000000}"/>
    <cellStyle name="s325" xfId="9" xr:uid="{00000000-0005-0000-0000-000009000000}"/>
    <cellStyle name="s326" xfId="10" xr:uid="{00000000-0005-0000-0000-00000A000000}"/>
    <cellStyle name="s327" xfId="11" xr:uid="{00000000-0005-0000-0000-00000B000000}"/>
    <cellStyle name="s328" xfId="12" xr:uid="{00000000-0005-0000-0000-00000C000000}"/>
    <cellStyle name="s329" xfId="13" xr:uid="{00000000-0005-0000-0000-00000D000000}"/>
    <cellStyle name="s330" xfId="14" xr:uid="{00000000-0005-0000-0000-00000E000000}"/>
    <cellStyle name="s331" xfId="15" xr:uid="{00000000-0005-0000-0000-00000F000000}"/>
    <cellStyle name="s332" xfId="16" xr:uid="{00000000-0005-0000-0000-000010000000}"/>
    <cellStyle name="s333" xfId="17" xr:uid="{00000000-0005-0000-0000-000011000000}"/>
    <cellStyle name="s334" xfId="18" xr:uid="{00000000-0005-0000-0000-000012000000}"/>
    <cellStyle name="s335" xfId="19" xr:uid="{00000000-0005-0000-0000-000013000000}"/>
    <cellStyle name="s336" xfId="20" xr:uid="{00000000-0005-0000-0000-000014000000}"/>
    <cellStyle name="s337" xfId="21" xr:uid="{00000000-0005-0000-0000-000015000000}"/>
    <cellStyle name="s338" xfId="22" xr:uid="{00000000-0005-0000-0000-000016000000}"/>
    <cellStyle name="s339" xfId="23" xr:uid="{00000000-0005-0000-0000-000017000000}"/>
    <cellStyle name="s340" xfId="24" xr:uid="{00000000-0005-0000-0000-000018000000}"/>
    <cellStyle name="s341" xfId="25" xr:uid="{00000000-0005-0000-0000-000019000000}"/>
    <cellStyle name="s342" xfId="26" xr:uid="{00000000-0005-0000-0000-00001A000000}"/>
    <cellStyle name="s343" xfId="27" xr:uid="{00000000-0005-0000-0000-00001B000000}"/>
    <cellStyle name="s344" xfId="28" xr:uid="{00000000-0005-0000-0000-00001C000000}"/>
    <cellStyle name="s345" xfId="29" xr:uid="{00000000-0005-0000-0000-00001D000000}"/>
    <cellStyle name="s346" xfId="30" xr:uid="{00000000-0005-0000-0000-00001E000000}"/>
    <cellStyle name="s347" xfId="31" xr:uid="{00000000-0005-0000-0000-00001F000000}"/>
    <cellStyle name="s348" xfId="32" xr:uid="{00000000-0005-0000-0000-000020000000}"/>
    <cellStyle name="s349" xfId="33" xr:uid="{00000000-0005-0000-0000-000021000000}"/>
    <cellStyle name="s350" xfId="34" xr:uid="{00000000-0005-0000-0000-000022000000}"/>
    <cellStyle name="s351" xfId="35" xr:uid="{00000000-0005-0000-0000-000023000000}"/>
    <cellStyle name="s352" xfId="36" xr:uid="{00000000-0005-0000-0000-000024000000}"/>
    <cellStyle name="s353" xfId="37" xr:uid="{00000000-0005-0000-0000-000025000000}"/>
    <cellStyle name="s354" xfId="38" xr:uid="{00000000-0005-0000-0000-000026000000}"/>
    <cellStyle name="s355" xfId="39" xr:uid="{00000000-0005-0000-0000-000027000000}"/>
    <cellStyle name="s356" xfId="40" xr:uid="{00000000-0005-0000-0000-000028000000}"/>
    <cellStyle name="s357" xfId="41" xr:uid="{00000000-0005-0000-0000-000029000000}"/>
    <cellStyle name="s358" xfId="42" xr:uid="{00000000-0005-0000-0000-00002A000000}"/>
    <cellStyle name="s359" xfId="43" xr:uid="{00000000-0005-0000-0000-00002B000000}"/>
    <cellStyle name="s360" xfId="44" xr:uid="{00000000-0005-0000-0000-00002C000000}"/>
    <cellStyle name="s361" xfId="45" xr:uid="{00000000-0005-0000-0000-00002D000000}"/>
    <cellStyle name="s362" xfId="46" xr:uid="{00000000-0005-0000-0000-00002E000000}"/>
    <cellStyle name="s363" xfId="47" xr:uid="{00000000-0005-0000-0000-00002F000000}"/>
    <cellStyle name="s364" xfId="48" xr:uid="{00000000-0005-0000-0000-000030000000}"/>
    <cellStyle name="s365" xfId="49" xr:uid="{00000000-0005-0000-0000-000031000000}"/>
    <cellStyle name="s366" xfId="50" xr:uid="{00000000-0005-0000-0000-000032000000}"/>
    <cellStyle name="s367" xfId="51" xr:uid="{00000000-0005-0000-0000-000033000000}"/>
    <cellStyle name="s368" xfId="52" xr:uid="{00000000-0005-0000-0000-000034000000}"/>
    <cellStyle name="s369" xfId="53" xr:uid="{00000000-0005-0000-0000-000035000000}"/>
    <cellStyle name="s370" xfId="54" xr:uid="{00000000-0005-0000-0000-000036000000}"/>
    <cellStyle name="s371" xfId="55" xr:uid="{00000000-0005-0000-0000-000037000000}"/>
    <cellStyle name="s372" xfId="56" xr:uid="{00000000-0005-0000-0000-000038000000}"/>
    <cellStyle name="s373" xfId="57" xr:uid="{00000000-0005-0000-0000-000039000000}"/>
    <cellStyle name="s374" xfId="58" xr:uid="{00000000-0005-0000-0000-00003A000000}"/>
    <cellStyle name="s375" xfId="59" xr:uid="{00000000-0005-0000-0000-00003B000000}"/>
    <cellStyle name="s376" xfId="60" xr:uid="{00000000-0005-0000-0000-00003C000000}"/>
    <cellStyle name="s377" xfId="61" xr:uid="{00000000-0005-0000-0000-00003D000000}"/>
    <cellStyle name="s378" xfId="62" xr:uid="{00000000-0005-0000-0000-00003E000000}"/>
    <cellStyle name="s379" xfId="63" xr:uid="{00000000-0005-0000-0000-00003F000000}"/>
    <cellStyle name="s380" xfId="64" xr:uid="{00000000-0005-0000-0000-000040000000}"/>
    <cellStyle name="s381" xfId="65" xr:uid="{00000000-0005-0000-0000-000041000000}"/>
    <cellStyle name="s382" xfId="66" xr:uid="{00000000-0005-0000-0000-000042000000}"/>
    <cellStyle name="s383" xfId="67" xr:uid="{00000000-0005-0000-0000-000043000000}"/>
    <cellStyle name="s384" xfId="68" xr:uid="{00000000-0005-0000-0000-000044000000}"/>
    <cellStyle name="s385" xfId="69" xr:uid="{00000000-0005-0000-0000-000045000000}"/>
    <cellStyle name="s386" xfId="70" xr:uid="{00000000-0005-0000-0000-000046000000}"/>
    <cellStyle name="s387" xfId="71" xr:uid="{00000000-0005-0000-0000-000047000000}"/>
    <cellStyle name="s388" xfId="72" xr:uid="{00000000-0005-0000-0000-000048000000}"/>
    <cellStyle name="s389" xfId="73" xr:uid="{00000000-0005-0000-0000-000049000000}"/>
    <cellStyle name="s390" xfId="74" xr:uid="{00000000-0005-0000-0000-00004A000000}"/>
    <cellStyle name="s391" xfId="75" xr:uid="{00000000-0005-0000-0000-00004B000000}"/>
    <cellStyle name="s392" xfId="76" xr:uid="{00000000-0005-0000-0000-00004C000000}"/>
    <cellStyle name="s393" xfId="77" xr:uid="{00000000-0005-0000-0000-00004D000000}"/>
    <cellStyle name="s394" xfId="78" xr:uid="{00000000-0005-0000-0000-00004E000000}"/>
    <cellStyle name="s395" xfId="79" xr:uid="{00000000-0005-0000-0000-00004F000000}"/>
    <cellStyle name="s396" xfId="80" xr:uid="{00000000-0005-0000-0000-000050000000}"/>
    <cellStyle name="s397" xfId="81" xr:uid="{00000000-0005-0000-0000-000051000000}"/>
    <cellStyle name="s398" xfId="82" xr:uid="{00000000-0005-0000-0000-000052000000}"/>
    <cellStyle name="s399" xfId="83" xr:uid="{00000000-0005-0000-0000-000053000000}"/>
    <cellStyle name="s400" xfId="84" xr:uid="{00000000-0005-0000-0000-000054000000}"/>
    <cellStyle name="s401" xfId="85" xr:uid="{00000000-0005-0000-0000-000055000000}"/>
    <cellStyle name="s402" xfId="86" xr:uid="{00000000-0005-0000-0000-000056000000}"/>
    <cellStyle name="s403" xfId="87" xr:uid="{00000000-0005-0000-0000-000057000000}"/>
    <cellStyle name="s404" xfId="88" xr:uid="{00000000-0005-0000-0000-000058000000}"/>
    <cellStyle name="s405" xfId="89" xr:uid="{00000000-0005-0000-0000-000059000000}"/>
    <cellStyle name="s406" xfId="90" xr:uid="{00000000-0005-0000-0000-00005A000000}"/>
    <cellStyle name="s407" xfId="91" xr:uid="{00000000-0005-0000-0000-00005B000000}"/>
    <cellStyle name="s408" xfId="92" xr:uid="{00000000-0005-0000-0000-00005C000000}"/>
    <cellStyle name="s409" xfId="93" xr:uid="{00000000-0005-0000-0000-00005D000000}"/>
    <cellStyle name="s410" xfId="94" xr:uid="{00000000-0005-0000-0000-00005E000000}"/>
    <cellStyle name="s411" xfId="95" xr:uid="{00000000-0005-0000-0000-00005F000000}"/>
    <cellStyle name="s412" xfId="96" xr:uid="{00000000-0005-0000-0000-000060000000}"/>
    <cellStyle name="s413" xfId="97" xr:uid="{00000000-0005-0000-0000-000061000000}"/>
    <cellStyle name="s414" xfId="98" xr:uid="{00000000-0005-0000-0000-000062000000}"/>
    <cellStyle name="s415" xfId="99" xr:uid="{00000000-0005-0000-0000-000063000000}"/>
    <cellStyle name="s416" xfId="100" xr:uid="{00000000-0005-0000-0000-000064000000}"/>
    <cellStyle name="s417" xfId="101" xr:uid="{00000000-0005-0000-0000-000065000000}"/>
    <cellStyle name="s418" xfId="102" xr:uid="{00000000-0005-0000-0000-000066000000}"/>
    <cellStyle name="s419" xfId="103" xr:uid="{00000000-0005-0000-0000-000067000000}"/>
    <cellStyle name="s420" xfId="104" xr:uid="{00000000-0005-0000-0000-000068000000}"/>
    <cellStyle name="s421" xfId="105" xr:uid="{00000000-0005-0000-0000-000069000000}"/>
    <cellStyle name="s422" xfId="106" xr:uid="{00000000-0005-0000-0000-00006A000000}"/>
    <cellStyle name="s423" xfId="107" xr:uid="{00000000-0005-0000-0000-00006B000000}"/>
    <cellStyle name="s424" xfId="108" xr:uid="{00000000-0005-0000-0000-00006C000000}"/>
    <cellStyle name="s425" xfId="109" xr:uid="{00000000-0005-0000-0000-00006D000000}"/>
    <cellStyle name="s426" xfId="110" xr:uid="{00000000-0005-0000-0000-00006E000000}"/>
    <cellStyle name="s427" xfId="111" xr:uid="{00000000-0005-0000-0000-00006F000000}"/>
    <cellStyle name="s428" xfId="112" xr:uid="{00000000-0005-0000-0000-000070000000}"/>
    <cellStyle name="s429" xfId="113" xr:uid="{00000000-0005-0000-0000-000071000000}"/>
    <cellStyle name="s430" xfId="114" xr:uid="{00000000-0005-0000-0000-000072000000}"/>
    <cellStyle name="s431" xfId="115" xr:uid="{00000000-0005-0000-0000-000073000000}"/>
    <cellStyle name="s432" xfId="116" xr:uid="{00000000-0005-0000-0000-000074000000}"/>
    <cellStyle name="s433" xfId="117" xr:uid="{00000000-0005-0000-0000-000075000000}"/>
    <cellStyle name="s434" xfId="118" xr:uid="{00000000-0005-0000-0000-000076000000}"/>
    <cellStyle name="s435" xfId="119" xr:uid="{00000000-0005-0000-0000-000077000000}"/>
    <cellStyle name="s436" xfId="120" xr:uid="{00000000-0005-0000-0000-000078000000}"/>
    <cellStyle name="s437" xfId="121" xr:uid="{00000000-0005-0000-0000-000079000000}"/>
    <cellStyle name="s438" xfId="122" xr:uid="{00000000-0005-0000-0000-00007A000000}"/>
    <cellStyle name="s439" xfId="123" xr:uid="{00000000-0005-0000-0000-00007B000000}"/>
    <cellStyle name="s440" xfId="124" xr:uid="{00000000-0005-0000-0000-00007C000000}"/>
    <cellStyle name="s441" xfId="125" xr:uid="{00000000-0005-0000-0000-00007D000000}"/>
    <cellStyle name="s442" xfId="126" xr:uid="{00000000-0005-0000-0000-00007E000000}"/>
    <cellStyle name="s443" xfId="127" xr:uid="{00000000-0005-0000-0000-00007F000000}"/>
    <cellStyle name="s444" xfId="128" xr:uid="{00000000-0005-0000-0000-000080000000}"/>
    <cellStyle name="s445" xfId="129" xr:uid="{00000000-0005-0000-0000-000081000000}"/>
    <cellStyle name="s446" xfId="130" xr:uid="{00000000-0005-0000-0000-000082000000}"/>
    <cellStyle name="s447" xfId="131" xr:uid="{00000000-0005-0000-0000-000083000000}"/>
    <cellStyle name="s448" xfId="132" xr:uid="{00000000-0005-0000-0000-000084000000}"/>
    <cellStyle name="s449" xfId="133" xr:uid="{00000000-0005-0000-0000-000085000000}"/>
    <cellStyle name="s450" xfId="134" xr:uid="{00000000-0005-0000-0000-000086000000}"/>
    <cellStyle name="s451" xfId="135" xr:uid="{00000000-0005-0000-0000-000087000000}"/>
    <cellStyle name="s452" xfId="136" xr:uid="{00000000-0005-0000-0000-000088000000}"/>
    <cellStyle name="s453" xfId="137" xr:uid="{00000000-0005-0000-0000-000089000000}"/>
    <cellStyle name="s454" xfId="138" xr:uid="{00000000-0005-0000-0000-00008A000000}"/>
    <cellStyle name="s455" xfId="139" xr:uid="{00000000-0005-0000-0000-00008B000000}"/>
    <cellStyle name="s456" xfId="140" xr:uid="{00000000-0005-0000-0000-00008C000000}"/>
    <cellStyle name="s457" xfId="141" xr:uid="{00000000-0005-0000-0000-00008D000000}"/>
    <cellStyle name="s458" xfId="142" xr:uid="{00000000-0005-0000-0000-00008E000000}"/>
    <cellStyle name="s459" xfId="143" xr:uid="{00000000-0005-0000-0000-00008F000000}"/>
    <cellStyle name="s460" xfId="144" xr:uid="{00000000-0005-0000-0000-000090000000}"/>
    <cellStyle name="s461" xfId="145" xr:uid="{00000000-0005-0000-0000-000091000000}"/>
    <cellStyle name="s462" xfId="146" xr:uid="{00000000-0005-0000-0000-000092000000}"/>
    <cellStyle name="s463" xfId="147" xr:uid="{00000000-0005-0000-0000-000093000000}"/>
    <cellStyle name="s464" xfId="148" xr:uid="{00000000-0005-0000-0000-000094000000}"/>
    <cellStyle name="s465" xfId="149" xr:uid="{00000000-0005-0000-0000-000095000000}"/>
    <cellStyle name="s466" xfId="150" xr:uid="{00000000-0005-0000-0000-000096000000}"/>
    <cellStyle name="s467" xfId="151" xr:uid="{00000000-0005-0000-0000-000097000000}"/>
    <cellStyle name="s468" xfId="152" xr:uid="{00000000-0005-0000-0000-000098000000}"/>
    <cellStyle name="s469" xfId="153" xr:uid="{00000000-0005-0000-0000-000099000000}"/>
    <cellStyle name="s470" xfId="154" xr:uid="{00000000-0005-0000-0000-00009A000000}"/>
    <cellStyle name="s471" xfId="155" xr:uid="{00000000-0005-0000-0000-00009B000000}"/>
    <cellStyle name="s472" xfId="156" xr:uid="{00000000-0005-0000-0000-00009C000000}"/>
    <cellStyle name="s473" xfId="157" xr:uid="{00000000-0005-0000-0000-00009D000000}"/>
    <cellStyle name="s474" xfId="158" xr:uid="{00000000-0005-0000-0000-00009E000000}"/>
    <cellStyle name="s475" xfId="159" xr:uid="{00000000-0005-0000-0000-00009F000000}"/>
    <cellStyle name="s476" xfId="160" xr:uid="{00000000-0005-0000-0000-0000A0000000}"/>
    <cellStyle name="s477" xfId="161" xr:uid="{00000000-0005-0000-0000-0000A1000000}"/>
    <cellStyle name="s478" xfId="162" xr:uid="{00000000-0005-0000-0000-0000A2000000}"/>
    <cellStyle name="s479" xfId="163" xr:uid="{00000000-0005-0000-0000-0000A3000000}"/>
    <cellStyle name="s480" xfId="164" xr:uid="{00000000-0005-0000-0000-0000A4000000}"/>
    <cellStyle name="s481" xfId="165" xr:uid="{00000000-0005-0000-0000-0000A5000000}"/>
    <cellStyle name="s482" xfId="166" xr:uid="{00000000-0005-0000-0000-0000A6000000}"/>
    <cellStyle name="s483" xfId="167" xr:uid="{00000000-0005-0000-0000-0000A7000000}"/>
    <cellStyle name="s484" xfId="168" xr:uid="{00000000-0005-0000-0000-0000A8000000}"/>
    <cellStyle name="s485" xfId="169" xr:uid="{00000000-0005-0000-0000-0000A9000000}"/>
    <cellStyle name="s486" xfId="170" xr:uid="{00000000-0005-0000-0000-0000AA000000}"/>
    <cellStyle name="s487" xfId="171" xr:uid="{00000000-0005-0000-0000-0000AB000000}"/>
    <cellStyle name="s488" xfId="172" xr:uid="{00000000-0005-0000-0000-0000AC000000}"/>
    <cellStyle name="s489" xfId="173" xr:uid="{00000000-0005-0000-0000-0000AD000000}"/>
    <cellStyle name="s490" xfId="174" xr:uid="{00000000-0005-0000-0000-0000AE000000}"/>
    <cellStyle name="s491" xfId="175" xr:uid="{00000000-0005-0000-0000-0000AF000000}"/>
    <cellStyle name="s492" xfId="176" xr:uid="{00000000-0005-0000-0000-0000B0000000}"/>
    <cellStyle name="s493" xfId="177" xr:uid="{00000000-0005-0000-0000-0000B1000000}"/>
    <cellStyle name="s494" xfId="178" xr:uid="{00000000-0005-0000-0000-0000B2000000}"/>
    <cellStyle name="s495" xfId="179" xr:uid="{00000000-0005-0000-0000-0000B3000000}"/>
    <cellStyle name="s496" xfId="180" xr:uid="{00000000-0005-0000-0000-0000B4000000}"/>
    <cellStyle name="s497" xfId="181" xr:uid="{00000000-0005-0000-0000-0000B5000000}"/>
    <cellStyle name="s498" xfId="182" xr:uid="{00000000-0005-0000-0000-0000B6000000}"/>
    <cellStyle name="s499" xfId="183" xr:uid="{00000000-0005-0000-0000-0000B7000000}"/>
    <cellStyle name="s500" xfId="184" xr:uid="{00000000-0005-0000-0000-0000B8000000}"/>
    <cellStyle name="s501" xfId="185" xr:uid="{00000000-0005-0000-0000-0000B9000000}"/>
    <cellStyle name="s502" xfId="186" xr:uid="{00000000-0005-0000-0000-0000BA000000}"/>
    <cellStyle name="s503" xfId="187" xr:uid="{00000000-0005-0000-0000-0000BB000000}"/>
    <cellStyle name="s504" xfId="188" xr:uid="{00000000-0005-0000-0000-0000BC000000}"/>
    <cellStyle name="s505" xfId="189" xr:uid="{00000000-0005-0000-0000-0000BD000000}"/>
    <cellStyle name="s506" xfId="190" xr:uid="{00000000-0005-0000-0000-0000BE000000}"/>
    <cellStyle name="s507" xfId="191" xr:uid="{00000000-0005-0000-0000-0000BF000000}"/>
    <cellStyle name="s508" xfId="192" xr:uid="{00000000-0005-0000-0000-0000C0000000}"/>
    <cellStyle name="s509" xfId="193" xr:uid="{00000000-0005-0000-0000-0000C1000000}"/>
    <cellStyle name="s510" xfId="194" xr:uid="{00000000-0005-0000-0000-0000C2000000}"/>
    <cellStyle name="s511" xfId="195" xr:uid="{00000000-0005-0000-0000-0000C3000000}"/>
    <cellStyle name="s512" xfId="196" xr:uid="{00000000-0005-0000-0000-0000C4000000}"/>
    <cellStyle name="s513" xfId="197" xr:uid="{00000000-0005-0000-0000-0000C5000000}"/>
    <cellStyle name="s514" xfId="198" xr:uid="{00000000-0005-0000-0000-0000C6000000}"/>
    <cellStyle name="s515" xfId="199" xr:uid="{00000000-0005-0000-0000-0000C7000000}"/>
    <cellStyle name="s516" xfId="200" xr:uid="{00000000-0005-0000-0000-0000C8000000}"/>
    <cellStyle name="s517" xfId="201" xr:uid="{00000000-0005-0000-0000-0000C9000000}"/>
    <cellStyle name="s518" xfId="202" xr:uid="{00000000-0005-0000-0000-0000CA000000}"/>
    <cellStyle name="s519" xfId="203" xr:uid="{00000000-0005-0000-0000-0000CB000000}"/>
    <cellStyle name="s520" xfId="204" xr:uid="{00000000-0005-0000-0000-0000CC000000}"/>
    <cellStyle name="s521" xfId="205" xr:uid="{00000000-0005-0000-0000-0000CD000000}"/>
    <cellStyle name="s522" xfId="206" xr:uid="{00000000-0005-0000-0000-0000CE000000}"/>
    <cellStyle name="s523" xfId="207" xr:uid="{00000000-0005-0000-0000-0000CF000000}"/>
    <cellStyle name="s524" xfId="208" xr:uid="{00000000-0005-0000-0000-0000D0000000}"/>
    <cellStyle name="s525" xfId="209" xr:uid="{00000000-0005-0000-0000-0000D1000000}"/>
    <cellStyle name="s526" xfId="210" xr:uid="{00000000-0005-0000-0000-0000D2000000}"/>
    <cellStyle name="s527" xfId="211" xr:uid="{00000000-0005-0000-0000-0000D3000000}"/>
    <cellStyle name="s528" xfId="212" xr:uid="{00000000-0005-0000-0000-0000D4000000}"/>
    <cellStyle name="s529" xfId="213" xr:uid="{00000000-0005-0000-0000-0000D5000000}"/>
    <cellStyle name="s530" xfId="214" xr:uid="{00000000-0005-0000-0000-0000D6000000}"/>
    <cellStyle name="s531" xfId="215" xr:uid="{00000000-0005-0000-0000-0000D7000000}"/>
    <cellStyle name="s532" xfId="216" xr:uid="{00000000-0005-0000-0000-0000D8000000}"/>
    <cellStyle name="s533" xfId="217" xr:uid="{00000000-0005-0000-0000-0000D9000000}"/>
    <cellStyle name="s534" xfId="218" xr:uid="{00000000-0005-0000-0000-0000DA000000}"/>
    <cellStyle name="s535" xfId="219" xr:uid="{00000000-0005-0000-0000-0000DB000000}"/>
    <cellStyle name="s536" xfId="220" xr:uid="{00000000-0005-0000-0000-0000DC000000}"/>
    <cellStyle name="s537" xfId="221" xr:uid="{00000000-0005-0000-0000-0000DD000000}"/>
    <cellStyle name="s538" xfId="222" xr:uid="{00000000-0005-0000-0000-0000DE000000}"/>
    <cellStyle name="s539" xfId="223" xr:uid="{00000000-0005-0000-0000-0000DF000000}"/>
    <cellStyle name="s540" xfId="224" xr:uid="{00000000-0005-0000-0000-0000E0000000}"/>
    <cellStyle name="s541" xfId="225" xr:uid="{00000000-0005-0000-0000-0000E1000000}"/>
    <cellStyle name="s542" xfId="226" xr:uid="{00000000-0005-0000-0000-0000E2000000}"/>
    <cellStyle name="s543" xfId="227" xr:uid="{00000000-0005-0000-0000-0000E3000000}"/>
    <cellStyle name="s544" xfId="228" xr:uid="{00000000-0005-0000-0000-0000E4000000}"/>
    <cellStyle name="s545" xfId="229" xr:uid="{00000000-0005-0000-0000-0000E5000000}"/>
    <cellStyle name="s546" xfId="230" xr:uid="{00000000-0005-0000-0000-0000E6000000}"/>
    <cellStyle name="s547" xfId="231" xr:uid="{00000000-0005-0000-0000-0000E7000000}"/>
    <cellStyle name="s548" xfId="232" xr:uid="{00000000-0005-0000-0000-0000E8000000}"/>
    <cellStyle name="s549" xfId="233" xr:uid="{00000000-0005-0000-0000-0000E9000000}"/>
    <cellStyle name="s550" xfId="234" xr:uid="{00000000-0005-0000-0000-0000EA000000}"/>
    <cellStyle name="s551" xfId="235" xr:uid="{00000000-0005-0000-0000-0000EB000000}"/>
    <cellStyle name="s552" xfId="236" xr:uid="{00000000-0005-0000-0000-0000EC000000}"/>
    <cellStyle name="s553" xfId="237" xr:uid="{00000000-0005-0000-0000-0000ED000000}"/>
    <cellStyle name="s554" xfId="238" xr:uid="{00000000-0005-0000-0000-0000EE000000}"/>
    <cellStyle name="s555" xfId="239" xr:uid="{00000000-0005-0000-0000-0000EF000000}"/>
    <cellStyle name="s556" xfId="240" xr:uid="{00000000-0005-0000-0000-0000F0000000}"/>
    <cellStyle name="s557" xfId="241" xr:uid="{00000000-0005-0000-0000-0000F1000000}"/>
    <cellStyle name="s558" xfId="242" xr:uid="{00000000-0005-0000-0000-0000F2000000}"/>
    <cellStyle name="s559" xfId="243" xr:uid="{00000000-0005-0000-0000-0000F3000000}"/>
    <cellStyle name="s560" xfId="244" xr:uid="{00000000-0005-0000-0000-0000F4000000}"/>
    <cellStyle name="s561" xfId="245" xr:uid="{00000000-0005-0000-0000-0000F5000000}"/>
    <cellStyle name="s562" xfId="246" xr:uid="{00000000-0005-0000-0000-0000F6000000}"/>
    <cellStyle name="s563" xfId="247" xr:uid="{00000000-0005-0000-0000-0000F7000000}"/>
    <cellStyle name="s564" xfId="248" xr:uid="{00000000-0005-0000-0000-0000F8000000}"/>
    <cellStyle name="s565" xfId="249" xr:uid="{00000000-0005-0000-0000-0000F9000000}"/>
    <cellStyle name="s566" xfId="250" xr:uid="{00000000-0005-0000-0000-0000FA000000}"/>
    <cellStyle name="s567" xfId="251" xr:uid="{00000000-0005-0000-0000-0000FB000000}"/>
    <cellStyle name="s568" xfId="252" xr:uid="{00000000-0005-0000-0000-0000FC000000}"/>
    <cellStyle name="s569" xfId="253" xr:uid="{00000000-0005-0000-0000-0000FD000000}"/>
    <cellStyle name="s570" xfId="254" xr:uid="{00000000-0005-0000-0000-0000FE000000}"/>
    <cellStyle name="s571" xfId="255" xr:uid="{00000000-0005-0000-0000-0000FF000000}"/>
    <cellStyle name="s572" xfId="256" xr:uid="{00000000-0005-0000-0000-000000010000}"/>
    <cellStyle name="s573" xfId="257" xr:uid="{00000000-0005-0000-0000-000001010000}"/>
    <cellStyle name="s574" xfId="258" xr:uid="{00000000-0005-0000-0000-000002010000}"/>
    <cellStyle name="s575" xfId="259" xr:uid="{00000000-0005-0000-0000-000003010000}"/>
    <cellStyle name="s576" xfId="260" xr:uid="{00000000-0005-0000-0000-000004010000}"/>
    <cellStyle name="s577" xfId="261" xr:uid="{00000000-0005-0000-0000-000005010000}"/>
    <cellStyle name="s578" xfId="262" xr:uid="{00000000-0005-0000-0000-000006010000}"/>
    <cellStyle name="s579" xfId="263" xr:uid="{00000000-0005-0000-0000-000007010000}"/>
    <cellStyle name="s580" xfId="264" xr:uid="{00000000-0005-0000-0000-000008010000}"/>
    <cellStyle name="s581" xfId="265" xr:uid="{00000000-0005-0000-0000-000009010000}"/>
    <cellStyle name="s582" xfId="266" xr:uid="{00000000-0005-0000-0000-00000A010000}"/>
    <cellStyle name="s583" xfId="267" xr:uid="{00000000-0005-0000-0000-00000B010000}"/>
    <cellStyle name="s584" xfId="268" xr:uid="{00000000-0005-0000-0000-00000C010000}"/>
    <cellStyle name="s585" xfId="269" xr:uid="{00000000-0005-0000-0000-00000D010000}"/>
    <cellStyle name="s586" xfId="270" xr:uid="{00000000-0005-0000-0000-00000E010000}"/>
    <cellStyle name="s587" xfId="271" xr:uid="{00000000-0005-0000-0000-00000F010000}"/>
    <cellStyle name="s588" xfId="272" xr:uid="{00000000-0005-0000-0000-000010010000}"/>
    <cellStyle name="s589" xfId="273" xr:uid="{00000000-0005-0000-0000-000011010000}"/>
    <cellStyle name="s590" xfId="274" xr:uid="{00000000-0005-0000-0000-000012010000}"/>
    <cellStyle name="s591" xfId="275" xr:uid="{00000000-0005-0000-0000-000013010000}"/>
    <cellStyle name="s592" xfId="276" xr:uid="{00000000-0005-0000-0000-000014010000}"/>
    <cellStyle name="s593" xfId="277" xr:uid="{00000000-0005-0000-0000-000015010000}"/>
    <cellStyle name="s594" xfId="278" xr:uid="{00000000-0005-0000-0000-000016010000}"/>
    <cellStyle name="s595" xfId="279" xr:uid="{00000000-0005-0000-0000-000017010000}"/>
    <cellStyle name="s596" xfId="280" xr:uid="{00000000-0005-0000-0000-000018010000}"/>
    <cellStyle name="s597" xfId="281" xr:uid="{00000000-0005-0000-0000-000019010000}"/>
    <cellStyle name="s598" xfId="282" xr:uid="{00000000-0005-0000-0000-00001A010000}"/>
    <cellStyle name="s599" xfId="283" xr:uid="{00000000-0005-0000-0000-00001B010000}"/>
    <cellStyle name="s600" xfId="284" xr:uid="{00000000-0005-0000-0000-00001C010000}"/>
    <cellStyle name="s601" xfId="285" xr:uid="{00000000-0005-0000-0000-00001D010000}"/>
    <cellStyle name="s602" xfId="286" xr:uid="{00000000-0005-0000-0000-00001E010000}"/>
    <cellStyle name="s603" xfId="287" xr:uid="{00000000-0005-0000-0000-00001F010000}"/>
    <cellStyle name="s604" xfId="288" xr:uid="{00000000-0005-0000-0000-000020010000}"/>
    <cellStyle name="s605" xfId="289" xr:uid="{00000000-0005-0000-0000-000021010000}"/>
    <cellStyle name="s606" xfId="290" xr:uid="{00000000-0005-0000-0000-000022010000}"/>
    <cellStyle name="s607" xfId="291" xr:uid="{00000000-0005-0000-0000-000023010000}"/>
    <cellStyle name="s608" xfId="292" xr:uid="{00000000-0005-0000-0000-000024010000}"/>
    <cellStyle name="s609" xfId="293" xr:uid="{00000000-0005-0000-0000-000025010000}"/>
    <cellStyle name="s610" xfId="294" xr:uid="{00000000-0005-0000-0000-000026010000}"/>
    <cellStyle name="s611" xfId="295" xr:uid="{00000000-0005-0000-0000-000027010000}"/>
    <cellStyle name="s612" xfId="296" xr:uid="{00000000-0005-0000-0000-000028010000}"/>
    <cellStyle name="s613" xfId="297" xr:uid="{00000000-0005-0000-0000-000029010000}"/>
    <cellStyle name="s614" xfId="298" xr:uid="{00000000-0005-0000-0000-00002A010000}"/>
    <cellStyle name="s615" xfId="299" xr:uid="{00000000-0005-0000-0000-00002B010000}"/>
    <cellStyle name="s616" xfId="300" xr:uid="{00000000-0005-0000-0000-00002C010000}"/>
    <cellStyle name="s617" xfId="301" xr:uid="{00000000-0005-0000-0000-00002D010000}"/>
    <cellStyle name="s618" xfId="302" xr:uid="{00000000-0005-0000-0000-00002E010000}"/>
    <cellStyle name="s619" xfId="303" xr:uid="{00000000-0005-0000-0000-00002F010000}"/>
    <cellStyle name="s620" xfId="304" xr:uid="{00000000-0005-0000-0000-000030010000}"/>
    <cellStyle name="s621" xfId="305" xr:uid="{00000000-0005-0000-0000-000031010000}"/>
    <cellStyle name="s622" xfId="306" xr:uid="{00000000-0005-0000-0000-000032010000}"/>
    <cellStyle name="s623" xfId="307" xr:uid="{00000000-0005-0000-0000-000033010000}"/>
    <cellStyle name="s624" xfId="308" xr:uid="{00000000-0005-0000-0000-000034010000}"/>
    <cellStyle name="s625" xfId="309" xr:uid="{00000000-0005-0000-0000-000035010000}"/>
    <cellStyle name="s626" xfId="310" xr:uid="{00000000-0005-0000-0000-000036010000}"/>
    <cellStyle name="s627" xfId="311" xr:uid="{00000000-0005-0000-0000-000037010000}"/>
    <cellStyle name="s628" xfId="312" xr:uid="{00000000-0005-0000-0000-000038010000}"/>
    <cellStyle name="s629" xfId="313" xr:uid="{00000000-0005-0000-0000-000039010000}"/>
    <cellStyle name="s630" xfId="314" xr:uid="{00000000-0005-0000-0000-00003A010000}"/>
    <cellStyle name="s631" xfId="315" xr:uid="{00000000-0005-0000-0000-00003B010000}"/>
    <cellStyle name="s632" xfId="316" xr:uid="{00000000-0005-0000-0000-00003C010000}"/>
    <cellStyle name="s633" xfId="317" xr:uid="{00000000-0005-0000-0000-00003D01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new-tarif.omskportal.ru/lk/ru_6_55/extensions/filestorage/api/Filestorage/GetFile?fileGuid=341680c6-f9ec-43ee-ad9e-e777d17a6dc7" TargetMode="External"/><Relationship Id="rId3" Type="http://schemas.openxmlformats.org/officeDocument/2006/relationships/hyperlink" Target="https://new-tarif.omskportal.ru/lk/ru_6_55/extensions/filestorage/api/Filestorage/GetFile?fileGuid=f9fce664-8579-4153-9ceb-e0e1421f7c17" TargetMode="External"/><Relationship Id="rId7" Type="http://schemas.openxmlformats.org/officeDocument/2006/relationships/hyperlink" Target="https://new-tarif.omskportal.ru/lk/ru_6_55/extensions/filestorage/api/Filestorage/GetFile?fileGuid=6a031761-94f3-4af0-bd58-a3a2d97fa61d" TargetMode="External"/><Relationship Id="rId12" Type="http://schemas.openxmlformats.org/officeDocument/2006/relationships/hyperlink" Target="https://new-tarif.omskportal.ru/lk/ru_6_55/extensions/filestorage/api/Filestorage/GetFile?fileGuid=990f2abf-0e8f-48b0-86e7-b2f88e62276e" TargetMode="External"/><Relationship Id="rId2" Type="http://schemas.openxmlformats.org/officeDocument/2006/relationships/hyperlink" Target="https://new-tarif.omskportal.ru/lk/ru_6_55/extensions/filestorage/api/Filestorage/GetFile?fileGuid=d36391a0-5b62-4882-8806-e4cd3cbebd8d" TargetMode="External"/><Relationship Id="rId1" Type="http://schemas.openxmlformats.org/officeDocument/2006/relationships/hyperlink" Target="https://new-tarif.omskportal.ru/lk/ru_6_55/extensions/filestorage/api/Filestorage/GetFile?fileGuid=65146951-0b78-43dc-a371-62a2f1ddcb43" TargetMode="External"/><Relationship Id="rId6" Type="http://schemas.openxmlformats.org/officeDocument/2006/relationships/hyperlink" Target="https://new-tarif.omskportal.ru/lk/ru_6_55/extensions/filestorage/api/Filestorage/GetFile?fileGuid=a94c3eba-e320-4914-993b-403d33ea2abb" TargetMode="External"/><Relationship Id="rId11" Type="http://schemas.openxmlformats.org/officeDocument/2006/relationships/hyperlink" Target="https://new-tarif.omskportal.ru/lk/ru_6_55/extensions/filestorage/api/Filestorage/GetFile?fileGuid=890ec062-179c-47a2-bf7e-1f35332d911a" TargetMode="External"/><Relationship Id="rId5" Type="http://schemas.openxmlformats.org/officeDocument/2006/relationships/hyperlink" Target="https://new-tarif.omskportal.ru/lk/ru_6_55/extensions/filestorage/api/Filestorage/GetFile?fileGuid=ace3a4ef-cee8-45d1-b1b1-33cedb85fa25" TargetMode="External"/><Relationship Id="rId10" Type="http://schemas.openxmlformats.org/officeDocument/2006/relationships/hyperlink" Target="https://new-tarif.omskportal.ru/lk/ru_6_55/extensions/filestorage/api/Filestorage/GetFile?fileGuid=f0cc51ee-8ef6-406a-ae3d-767f0ab79130" TargetMode="External"/><Relationship Id="rId4" Type="http://schemas.openxmlformats.org/officeDocument/2006/relationships/hyperlink" Target="https://new-tarif.omskportal.ru/lk/ru_6_55/extensions/filestorage/api/Filestorage/GetFile?fileGuid=7ec6d432-e22d-42d0-86c8-523638c2370a" TargetMode="External"/><Relationship Id="rId9" Type="http://schemas.openxmlformats.org/officeDocument/2006/relationships/hyperlink" Target="https://new-tarif.omskportal.ru/lk/ru_6_55/extensions/filestorage/api/Filestorage/GetFile?fileGuid=b1f6b89e-99ff-40ac-a75d-f96d228185ba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04C03-F888-B5EC-0EC2-2B415BA7FC86}">
  <sheetPr>
    <tabColor rgb="FFFFCC99"/>
  </sheetPr>
  <dimension ref="A1:X86"/>
  <sheetViews>
    <sheetView showGridLines="0" workbookViewId="0"/>
  </sheetViews>
  <sheetFormatPr defaultColWidth="9.109375" defaultRowHeight="11.25" customHeight="1" x14ac:dyDescent="0.3"/>
  <cols>
    <col min="1" max="1" width="35.88671875" customWidth="1"/>
    <col min="2" max="2" width="32.5546875" customWidth="1"/>
    <col min="3" max="3" width="18.6640625" customWidth="1"/>
    <col min="4" max="4" width="14.109375" customWidth="1"/>
    <col min="5" max="5" width="20.88671875" customWidth="1"/>
    <col min="6" max="8" width="12.33203125" customWidth="1"/>
    <col min="9" max="9" width="22.5546875" customWidth="1"/>
    <col min="10" max="10" width="34.44140625" customWidth="1"/>
    <col min="11" max="11" width="25" customWidth="1"/>
    <col min="12" max="12" width="13.5546875" customWidth="1"/>
    <col min="13" max="13" width="20.6640625" customWidth="1"/>
    <col min="15" max="15" width="8" customWidth="1"/>
    <col min="16" max="16" width="34" customWidth="1"/>
    <col min="18" max="18" width="35.44140625" customWidth="1"/>
    <col min="19" max="19" width="24.88671875" customWidth="1"/>
  </cols>
  <sheetData>
    <row r="1" spans="1:24" ht="11.25" customHeight="1" x14ac:dyDescent="0.2">
      <c r="B1" s="109" t="s">
        <v>0</v>
      </c>
      <c r="C1" s="109" t="s">
        <v>1</v>
      </c>
      <c r="D1" s="109" t="s">
        <v>2</v>
      </c>
      <c r="E1" s="109" t="s">
        <v>3</v>
      </c>
      <c r="F1" s="110" t="s">
        <v>4</v>
      </c>
      <c r="G1" s="110" t="s">
        <v>5</v>
      </c>
      <c r="H1" s="110" t="s">
        <v>6</v>
      </c>
      <c r="I1" s="111" t="s">
        <v>7</v>
      </c>
      <c r="J1" s="111" t="s">
        <v>8</v>
      </c>
      <c r="K1" s="111" t="s">
        <v>9</v>
      </c>
      <c r="L1" s="112" t="s">
        <v>10</v>
      </c>
      <c r="O1" s="113" t="s">
        <v>11</v>
      </c>
      <c r="P1" s="113" t="s">
        <v>12</v>
      </c>
      <c r="R1" s="114" t="s">
        <v>13</v>
      </c>
      <c r="S1" s="114" t="s">
        <v>14</v>
      </c>
      <c r="U1" s="113" t="s">
        <v>15</v>
      </c>
      <c r="V1" s="113" t="s">
        <v>16</v>
      </c>
      <c r="X1" s="115" t="s">
        <v>17</v>
      </c>
    </row>
    <row r="2" spans="1:24" ht="12.75" customHeight="1" x14ac:dyDescent="0.25">
      <c r="A2" s="116" t="s">
        <v>18</v>
      </c>
      <c r="B2" s="117" t="s">
        <v>19</v>
      </c>
      <c r="C2" s="45" t="s">
        <v>20</v>
      </c>
      <c r="D2" s="118" t="s">
        <v>21</v>
      </c>
      <c r="E2" s="119">
        <v>2017</v>
      </c>
      <c r="F2" s="120" t="s">
        <v>22</v>
      </c>
      <c r="G2" s="120" t="s">
        <v>23</v>
      </c>
      <c r="H2" s="120" t="s">
        <v>23</v>
      </c>
      <c r="I2" s="121" t="s">
        <v>24</v>
      </c>
      <c r="J2" s="122" t="s">
        <v>25</v>
      </c>
      <c r="K2" s="123" t="s">
        <v>26</v>
      </c>
      <c r="L2" s="99">
        <v>3</v>
      </c>
      <c r="O2" s="124" t="s">
        <v>27</v>
      </c>
      <c r="P2" s="125" t="s">
        <v>28</v>
      </c>
      <c r="R2" s="99" t="s">
        <v>29</v>
      </c>
      <c r="S2" s="99" t="s">
        <v>30</v>
      </c>
      <c r="U2" s="125" t="s">
        <v>30</v>
      </c>
      <c r="V2" s="125" t="s">
        <v>29</v>
      </c>
      <c r="X2" s="126" t="s">
        <v>31</v>
      </c>
    </row>
    <row r="3" spans="1:24" ht="12.75" customHeight="1" x14ac:dyDescent="0.25">
      <c r="A3" s="116" t="s">
        <v>32</v>
      </c>
      <c r="B3" s="117" t="s">
        <v>33</v>
      </c>
      <c r="C3" s="45" t="s">
        <v>34</v>
      </c>
      <c r="D3" s="118" t="s">
        <v>35</v>
      </c>
      <c r="E3" s="119">
        <v>2018</v>
      </c>
      <c r="F3" s="120" t="s">
        <v>36</v>
      </c>
      <c r="G3" s="120" t="s">
        <v>37</v>
      </c>
      <c r="H3" s="120" t="s">
        <v>37</v>
      </c>
      <c r="I3" t="s">
        <v>38</v>
      </c>
      <c r="J3" s="122" t="s">
        <v>39</v>
      </c>
      <c r="K3" s="123" t="s">
        <v>40</v>
      </c>
      <c r="O3" s="124" t="s">
        <v>41</v>
      </c>
      <c r="P3" s="125" t="s">
        <v>42</v>
      </c>
      <c r="R3" s="99" t="s">
        <v>43</v>
      </c>
      <c r="S3" s="99" t="s">
        <v>44</v>
      </c>
      <c r="U3" s="125" t="s">
        <v>44</v>
      </c>
      <c r="V3" s="125" t="s">
        <v>43</v>
      </c>
      <c r="X3" s="126" t="s">
        <v>45</v>
      </c>
    </row>
    <row r="4" spans="1:24" ht="12.75" customHeight="1" x14ac:dyDescent="0.25">
      <c r="A4" s="116" t="s">
        <v>46</v>
      </c>
      <c r="B4" s="117" t="s">
        <v>47</v>
      </c>
      <c r="D4" s="118" t="s">
        <v>48</v>
      </c>
      <c r="E4" s="119">
        <v>2019</v>
      </c>
      <c r="F4" s="120" t="s">
        <v>49</v>
      </c>
      <c r="G4" s="120" t="s">
        <v>50</v>
      </c>
      <c r="H4" s="120" t="s">
        <v>50</v>
      </c>
      <c r="I4" t="s">
        <v>51</v>
      </c>
      <c r="J4" s="122" t="s">
        <v>52</v>
      </c>
      <c r="O4" s="124" t="s">
        <v>53</v>
      </c>
      <c r="P4" s="125" t="s">
        <v>54</v>
      </c>
      <c r="R4" s="99" t="s">
        <v>55</v>
      </c>
      <c r="S4" s="99" t="s">
        <v>56</v>
      </c>
      <c r="U4" s="125" t="s">
        <v>56</v>
      </c>
      <c r="V4" s="125" t="s">
        <v>57</v>
      </c>
    </row>
    <row r="5" spans="1:24" ht="12.75" customHeight="1" x14ac:dyDescent="0.25">
      <c r="A5" s="116" t="s">
        <v>58</v>
      </c>
      <c r="B5" s="117" t="s">
        <v>59</v>
      </c>
      <c r="D5" s="118" t="s">
        <v>60</v>
      </c>
      <c r="E5" s="119">
        <v>2020</v>
      </c>
      <c r="F5" s="120" t="s">
        <v>61</v>
      </c>
      <c r="G5" s="120" t="s">
        <v>62</v>
      </c>
      <c r="H5" s="120" t="s">
        <v>62</v>
      </c>
      <c r="I5" t="s">
        <v>63</v>
      </c>
      <c r="J5" s="122" t="s">
        <v>64</v>
      </c>
      <c r="O5" s="124" t="s">
        <v>53</v>
      </c>
      <c r="P5" s="125" t="s">
        <v>54</v>
      </c>
      <c r="R5" s="99" t="s">
        <v>65</v>
      </c>
      <c r="V5" s="125" t="s">
        <v>55</v>
      </c>
    </row>
    <row r="6" spans="1:24" ht="11.25" customHeight="1" x14ac:dyDescent="0.2">
      <c r="A6" s="116" t="s">
        <v>66</v>
      </c>
      <c r="B6" s="117" t="s">
        <v>67</v>
      </c>
      <c r="C6" s="109" t="s">
        <v>68</v>
      </c>
      <c r="E6" s="119">
        <v>2021</v>
      </c>
      <c r="F6" s="120" t="s">
        <v>69</v>
      </c>
      <c r="G6" s="120" t="s">
        <v>70</v>
      </c>
      <c r="H6" s="120" t="s">
        <v>70</v>
      </c>
      <c r="J6" s="122" t="s">
        <v>71</v>
      </c>
      <c r="O6" s="124" t="s">
        <v>27</v>
      </c>
      <c r="P6" s="125" t="s">
        <v>28</v>
      </c>
      <c r="R6" s="99" t="s">
        <v>72</v>
      </c>
      <c r="V6" s="125" t="s">
        <v>65</v>
      </c>
    </row>
    <row r="7" spans="1:24" ht="11.25" customHeight="1" x14ac:dyDescent="0.2">
      <c r="A7" s="116" t="s">
        <v>73</v>
      </c>
      <c r="B7" s="117" t="s">
        <v>74</v>
      </c>
      <c r="E7" s="119">
        <v>2022</v>
      </c>
      <c r="F7" s="120" t="s">
        <v>75</v>
      </c>
      <c r="G7" s="120" t="s">
        <v>76</v>
      </c>
      <c r="H7" s="120" t="s">
        <v>76</v>
      </c>
      <c r="J7" s="122" t="s">
        <v>77</v>
      </c>
      <c r="O7" s="124" t="s">
        <v>78</v>
      </c>
      <c r="P7" s="127" t="s">
        <v>79</v>
      </c>
      <c r="V7" s="125" t="s">
        <v>72</v>
      </c>
    </row>
    <row r="8" spans="1:24" ht="12.75" customHeight="1" x14ac:dyDescent="0.25">
      <c r="A8" s="116" t="s">
        <v>80</v>
      </c>
      <c r="B8" s="117" t="s">
        <v>81</v>
      </c>
      <c r="D8" s="118" t="s">
        <v>21</v>
      </c>
      <c r="F8" s="120" t="s">
        <v>82</v>
      </c>
      <c r="G8" s="120" t="s">
        <v>83</v>
      </c>
      <c r="H8" s="120" t="s">
        <v>83</v>
      </c>
      <c r="J8" s="122" t="s">
        <v>84</v>
      </c>
      <c r="O8" s="124" t="s">
        <v>85</v>
      </c>
      <c r="P8" s="127" t="s">
        <v>86</v>
      </c>
    </row>
    <row r="9" spans="1:24" ht="12.75" customHeight="1" x14ac:dyDescent="0.25">
      <c r="A9" s="116" t="s">
        <v>87</v>
      </c>
      <c r="B9" s="117" t="s">
        <v>88</v>
      </c>
      <c r="D9" s="118" t="s">
        <v>89</v>
      </c>
      <c r="F9" s="120" t="s">
        <v>90</v>
      </c>
      <c r="G9" s="120" t="s">
        <v>91</v>
      </c>
      <c r="H9" s="120" t="s">
        <v>91</v>
      </c>
      <c r="J9" s="122" t="s">
        <v>92</v>
      </c>
      <c r="O9" s="124" t="s">
        <v>93</v>
      </c>
      <c r="P9" s="127" t="s">
        <v>94</v>
      </c>
    </row>
    <row r="10" spans="1:24" ht="12.75" customHeight="1" x14ac:dyDescent="0.25">
      <c r="A10" s="116" t="s">
        <v>95</v>
      </c>
      <c r="B10" s="117" t="s">
        <v>96</v>
      </c>
      <c r="D10" s="118" t="s">
        <v>97</v>
      </c>
      <c r="F10" s="120" t="s">
        <v>98</v>
      </c>
      <c r="G10" s="120" t="s">
        <v>99</v>
      </c>
      <c r="H10" s="120" t="s">
        <v>99</v>
      </c>
      <c r="J10" s="122" t="s">
        <v>100</v>
      </c>
      <c r="O10" s="124" t="s">
        <v>101</v>
      </c>
      <c r="P10" s="125" t="s">
        <v>102</v>
      </c>
    </row>
    <row r="11" spans="1:24" ht="12.75" customHeight="1" x14ac:dyDescent="0.25">
      <c r="A11" s="116" t="s">
        <v>103</v>
      </c>
      <c r="B11" s="117" t="s">
        <v>104</v>
      </c>
      <c r="D11" s="118" t="s">
        <v>105</v>
      </c>
      <c r="F11" s="120" t="s">
        <v>106</v>
      </c>
      <c r="G11" s="120">
        <v>10</v>
      </c>
      <c r="H11" s="120">
        <v>10</v>
      </c>
      <c r="J11" s="111" t="s">
        <v>107</v>
      </c>
    </row>
    <row r="12" spans="1:24" ht="11.25" customHeight="1" x14ac:dyDescent="0.2">
      <c r="A12" s="116" t="s">
        <v>108</v>
      </c>
      <c r="B12" s="117" t="s">
        <v>109</v>
      </c>
      <c r="F12" s="120" t="s">
        <v>110</v>
      </c>
      <c r="G12" s="120">
        <v>11</v>
      </c>
      <c r="H12" s="120">
        <v>11</v>
      </c>
      <c r="J12" s="122" t="s">
        <v>25</v>
      </c>
    </row>
    <row r="13" spans="1:24" ht="11.25" customHeight="1" x14ac:dyDescent="0.2">
      <c r="A13" s="116" t="s">
        <v>111</v>
      </c>
      <c r="B13" s="117" t="s">
        <v>112</v>
      </c>
      <c r="F13" s="120" t="s">
        <v>113</v>
      </c>
      <c r="G13" s="120">
        <v>12</v>
      </c>
      <c r="H13" s="120">
        <v>12</v>
      </c>
      <c r="J13" s="122" t="s">
        <v>39</v>
      </c>
    </row>
    <row r="14" spans="1:24" ht="11.25" customHeight="1" x14ac:dyDescent="0.2">
      <c r="A14" s="116" t="s">
        <v>114</v>
      </c>
      <c r="B14" s="117" t="s">
        <v>115</v>
      </c>
      <c r="E14" s="111" t="s">
        <v>116</v>
      </c>
      <c r="H14" s="120">
        <v>13</v>
      </c>
      <c r="J14" s="122" t="s">
        <v>52</v>
      </c>
    </row>
    <row r="15" spans="1:24" ht="11.25" customHeight="1" x14ac:dyDescent="0.2">
      <c r="A15" s="116" t="s">
        <v>117</v>
      </c>
      <c r="B15" s="117" t="s">
        <v>118</v>
      </c>
      <c r="E15" s="119">
        <v>2007</v>
      </c>
      <c r="F15" s="119">
        <v>2017</v>
      </c>
      <c r="H15" s="120">
        <v>14</v>
      </c>
      <c r="J15" s="122" t="s">
        <v>64</v>
      </c>
    </row>
    <row r="16" spans="1:24" ht="11.25" customHeight="1" x14ac:dyDescent="0.2">
      <c r="A16" s="116" t="s">
        <v>119</v>
      </c>
      <c r="B16" s="117" t="s">
        <v>120</v>
      </c>
      <c r="E16" s="119">
        <v>2008</v>
      </c>
      <c r="F16" s="119">
        <v>2018</v>
      </c>
      <c r="H16" s="120">
        <v>15</v>
      </c>
      <c r="J16" s="122" t="s">
        <v>71</v>
      </c>
    </row>
    <row r="17" spans="1:10" ht="11.25" customHeight="1" x14ac:dyDescent="0.2">
      <c r="A17" s="116" t="s">
        <v>121</v>
      </c>
      <c r="B17" s="117" t="s">
        <v>122</v>
      </c>
      <c r="C17" s="111" t="s">
        <v>123</v>
      </c>
      <c r="E17" s="119">
        <v>2009</v>
      </c>
      <c r="F17" s="119">
        <v>2019</v>
      </c>
      <c r="H17" s="120">
        <v>16</v>
      </c>
    </row>
    <row r="18" spans="1:10" ht="11.25" customHeight="1" x14ac:dyDescent="0.2">
      <c r="A18" s="116" t="s">
        <v>124</v>
      </c>
      <c r="B18" s="117" t="s">
        <v>125</v>
      </c>
      <c r="C18" s="121" t="s">
        <v>126</v>
      </c>
      <c r="E18" s="119">
        <v>2010</v>
      </c>
      <c r="F18" s="119">
        <v>2020</v>
      </c>
      <c r="H18" s="120">
        <v>17</v>
      </c>
    </row>
    <row r="19" spans="1:10" ht="11.25" customHeight="1" x14ac:dyDescent="0.2">
      <c r="A19" s="116" t="s">
        <v>127</v>
      </c>
      <c r="B19" s="117" t="s">
        <v>128</v>
      </c>
      <c r="E19" s="119">
        <v>2011</v>
      </c>
      <c r="F19" s="119">
        <v>2021</v>
      </c>
      <c r="H19" s="120">
        <v>18</v>
      </c>
      <c r="J19" s="111" t="s">
        <v>129</v>
      </c>
    </row>
    <row r="20" spans="1:10" ht="11.25" customHeight="1" x14ac:dyDescent="0.2">
      <c r="A20" s="116" t="s">
        <v>130</v>
      </c>
      <c r="B20" s="117" t="s">
        <v>131</v>
      </c>
      <c r="E20" s="119">
        <v>2012</v>
      </c>
      <c r="F20" s="119">
        <v>2022</v>
      </c>
      <c r="H20" s="120">
        <v>19</v>
      </c>
      <c r="J20" s="122" t="s">
        <v>132</v>
      </c>
    </row>
    <row r="21" spans="1:10" ht="11.25" customHeight="1" x14ac:dyDescent="0.2">
      <c r="A21" s="116" t="s">
        <v>133</v>
      </c>
      <c r="B21" s="117" t="s">
        <v>134</v>
      </c>
      <c r="E21" s="119">
        <v>2013</v>
      </c>
      <c r="F21" s="119">
        <v>2023</v>
      </c>
      <c r="H21" s="120">
        <v>20</v>
      </c>
      <c r="J21" s="122" t="s">
        <v>135</v>
      </c>
    </row>
    <row r="22" spans="1:10" ht="11.25" customHeight="1" x14ac:dyDescent="0.2">
      <c r="A22" s="116" t="s">
        <v>136</v>
      </c>
      <c r="B22" s="117" t="s">
        <v>137</v>
      </c>
      <c r="E22" s="119">
        <v>2014</v>
      </c>
      <c r="F22" s="119">
        <v>2024</v>
      </c>
      <c r="H22" s="120">
        <v>21</v>
      </c>
      <c r="J22" s="122" t="s">
        <v>138</v>
      </c>
    </row>
    <row r="23" spans="1:10" ht="11.25" customHeight="1" x14ac:dyDescent="0.2">
      <c r="A23" s="116" t="s">
        <v>139</v>
      </c>
      <c r="B23" s="117" t="s">
        <v>140</v>
      </c>
      <c r="E23" s="119">
        <v>2015</v>
      </c>
      <c r="F23" s="119">
        <v>2025</v>
      </c>
      <c r="H23" s="120">
        <v>22</v>
      </c>
      <c r="J23" s="122" t="s">
        <v>141</v>
      </c>
    </row>
    <row r="24" spans="1:10" ht="11.25" customHeight="1" x14ac:dyDescent="0.2">
      <c r="A24" s="116" t="s">
        <v>142</v>
      </c>
      <c r="B24" s="117" t="s">
        <v>143</v>
      </c>
      <c r="E24" s="119">
        <v>2016</v>
      </c>
      <c r="F24" s="119">
        <v>2026</v>
      </c>
      <c r="H24" s="120">
        <v>23</v>
      </c>
    </row>
    <row r="25" spans="1:10" ht="11.25" customHeight="1" x14ac:dyDescent="0.2">
      <c r="A25" s="116" t="s">
        <v>144</v>
      </c>
      <c r="B25" s="117" t="s">
        <v>145</v>
      </c>
      <c r="E25" s="119">
        <v>2017</v>
      </c>
      <c r="F25" s="119">
        <v>2027</v>
      </c>
      <c r="H25" s="120">
        <v>24</v>
      </c>
    </row>
    <row r="26" spans="1:10" ht="11.25" customHeight="1" x14ac:dyDescent="0.2">
      <c r="A26" s="116" t="s">
        <v>146</v>
      </c>
      <c r="B26" s="117" t="s">
        <v>147</v>
      </c>
      <c r="H26" s="120">
        <v>25</v>
      </c>
    </row>
    <row r="27" spans="1:10" ht="11.25" customHeight="1" x14ac:dyDescent="0.2">
      <c r="A27" s="116" t="s">
        <v>148</v>
      </c>
      <c r="B27" s="117" t="s">
        <v>149</v>
      </c>
      <c r="H27" s="120">
        <v>26</v>
      </c>
    </row>
    <row r="28" spans="1:10" ht="11.25" customHeight="1" x14ac:dyDescent="0.2">
      <c r="A28" s="116" t="s">
        <v>150</v>
      </c>
      <c r="B28" s="117" t="s">
        <v>151</v>
      </c>
      <c r="E28" s="128" t="s">
        <v>152</v>
      </c>
      <c r="H28" s="120">
        <v>27</v>
      </c>
    </row>
    <row r="29" spans="1:10" ht="11.25" customHeight="1" x14ac:dyDescent="0.2">
      <c r="A29" s="116" t="s">
        <v>153</v>
      </c>
      <c r="B29" s="117" t="s">
        <v>154</v>
      </c>
      <c r="E29" s="119">
        <f>FIRST_PERIOD_IN_LT</f>
        <v>2020</v>
      </c>
      <c r="H29" s="120">
        <v>28</v>
      </c>
      <c r="J29" s="111" t="s">
        <v>155</v>
      </c>
    </row>
    <row r="30" spans="1:10" ht="11.25" customHeight="1" x14ac:dyDescent="0.2">
      <c r="A30" s="116" t="s">
        <v>156</v>
      </c>
      <c r="B30" s="117" t="s">
        <v>157</v>
      </c>
      <c r="E30" s="119">
        <f>(FIRST_PERIOD_IN_LT+1)</f>
        <v>2021</v>
      </c>
      <c r="H30" s="120">
        <v>29</v>
      </c>
      <c r="J30" s="122" t="s">
        <v>158</v>
      </c>
    </row>
    <row r="31" spans="1:10" ht="11.25" customHeight="1" x14ac:dyDescent="0.2">
      <c r="A31" s="116" t="s">
        <v>159</v>
      </c>
      <c r="B31" s="117" t="s">
        <v>160</v>
      </c>
      <c r="E31" s="119">
        <f>FIRST_PERIOD_IN_LT+2</f>
        <v>2022</v>
      </c>
      <c r="H31" s="120">
        <v>30</v>
      </c>
    </row>
    <row r="32" spans="1:10" ht="11.25" customHeight="1" x14ac:dyDescent="0.2">
      <c r="A32" s="116" t="s">
        <v>161</v>
      </c>
      <c r="H32" s="120">
        <v>31</v>
      </c>
    </row>
    <row r="33" spans="1:10" ht="11.25" customHeight="1" x14ac:dyDescent="0.3">
      <c r="A33" s="116" t="s">
        <v>162</v>
      </c>
      <c r="J33" s="111" t="s">
        <v>163</v>
      </c>
    </row>
    <row r="34" spans="1:10" ht="11.25" customHeight="1" x14ac:dyDescent="0.2">
      <c r="A34" s="116" t="s">
        <v>164</v>
      </c>
      <c r="J34" s="129" t="s">
        <v>165</v>
      </c>
    </row>
    <row r="35" spans="1:10" ht="11.25" customHeight="1" x14ac:dyDescent="0.2">
      <c r="A35" s="116" t="s">
        <v>166</v>
      </c>
      <c r="J35" s="129" t="s">
        <v>167</v>
      </c>
    </row>
    <row r="36" spans="1:10" ht="11.25" customHeight="1" x14ac:dyDescent="0.2">
      <c r="A36" s="116" t="s">
        <v>168</v>
      </c>
      <c r="E36" s="128" t="s">
        <v>169</v>
      </c>
      <c r="J36" s="129" t="s">
        <v>170</v>
      </c>
    </row>
    <row r="37" spans="1:10" ht="11.25" customHeight="1" x14ac:dyDescent="0.2">
      <c r="A37" s="116" t="s">
        <v>171</v>
      </c>
      <c r="E37" s="119">
        <f>FIRST_PERIOD_IN_LT</f>
        <v>2020</v>
      </c>
    </row>
    <row r="38" spans="1:10" ht="11.25" customHeight="1" x14ac:dyDescent="0.2">
      <c r="A38" s="116" t="s">
        <v>172</v>
      </c>
      <c r="E38" s="119">
        <f>FIRST_PERIOD_IN_LT+1</f>
        <v>2021</v>
      </c>
    </row>
    <row r="39" spans="1:10" ht="11.25" customHeight="1" x14ac:dyDescent="0.2">
      <c r="A39" s="116" t="s">
        <v>173</v>
      </c>
      <c r="E39" s="119">
        <f>FIRST_PERIOD_IN_LT+2</f>
        <v>2022</v>
      </c>
    </row>
    <row r="40" spans="1:10" ht="11.25" customHeight="1" x14ac:dyDescent="0.2">
      <c r="A40" s="116" t="s">
        <v>174</v>
      </c>
      <c r="E40" s="119">
        <f>FIRST_PERIOD_IN_LT+3</f>
        <v>2023</v>
      </c>
    </row>
    <row r="41" spans="1:10" ht="11.25" customHeight="1" x14ac:dyDescent="0.3">
      <c r="A41" s="116" t="s">
        <v>175</v>
      </c>
    </row>
    <row r="42" spans="1:10" ht="11.25" customHeight="1" x14ac:dyDescent="0.3">
      <c r="A42" s="116" t="s">
        <v>176</v>
      </c>
    </row>
    <row r="43" spans="1:10" ht="11.25" customHeight="1" x14ac:dyDescent="0.2">
      <c r="A43" s="116" t="s">
        <v>177</v>
      </c>
      <c r="E43" s="128" t="s">
        <v>178</v>
      </c>
    </row>
    <row r="44" spans="1:10" ht="11.25" customHeight="1" x14ac:dyDescent="0.2">
      <c r="A44" s="116" t="s">
        <v>179</v>
      </c>
      <c r="E44" s="119">
        <f>FIRST_PERIOD_IN_LT</f>
        <v>2020</v>
      </c>
    </row>
    <row r="45" spans="1:10" ht="11.25" customHeight="1" x14ac:dyDescent="0.2">
      <c r="A45" s="116" t="s">
        <v>180</v>
      </c>
      <c r="E45" s="119">
        <f>FIRST_PERIOD_IN_LT+1</f>
        <v>2021</v>
      </c>
    </row>
    <row r="46" spans="1:10" ht="11.25" customHeight="1" x14ac:dyDescent="0.2">
      <c r="A46" s="116" t="s">
        <v>181</v>
      </c>
      <c r="E46" s="119">
        <f>FIRST_PERIOD_IN_LT+2</f>
        <v>2022</v>
      </c>
    </row>
    <row r="47" spans="1:10" ht="11.25" customHeight="1" x14ac:dyDescent="0.2">
      <c r="A47" s="116" t="s">
        <v>182</v>
      </c>
      <c r="E47" s="119">
        <f>FIRST_PERIOD_IN_LT+3</f>
        <v>2023</v>
      </c>
    </row>
    <row r="48" spans="1:10" ht="11.25" customHeight="1" x14ac:dyDescent="0.2">
      <c r="A48" s="116" t="s">
        <v>183</v>
      </c>
      <c r="E48" s="119">
        <f>FIRST_PERIOD_IN_LT+4</f>
        <v>2024</v>
      </c>
    </row>
    <row r="49" spans="1:1" ht="11.25" customHeight="1" x14ac:dyDescent="0.3">
      <c r="A49" s="116" t="s">
        <v>184</v>
      </c>
    </row>
    <row r="50" spans="1:1" ht="11.25" customHeight="1" x14ac:dyDescent="0.3">
      <c r="A50" s="116" t="s">
        <v>185</v>
      </c>
    </row>
    <row r="51" spans="1:1" ht="11.25" customHeight="1" x14ac:dyDescent="0.3">
      <c r="A51" s="116" t="s">
        <v>186</v>
      </c>
    </row>
    <row r="52" spans="1:1" ht="11.25" customHeight="1" x14ac:dyDescent="0.3">
      <c r="A52" s="116" t="s">
        <v>187</v>
      </c>
    </row>
    <row r="53" spans="1:1" ht="11.25" customHeight="1" x14ac:dyDescent="0.3">
      <c r="A53" s="116" t="s">
        <v>188</v>
      </c>
    </row>
    <row r="54" spans="1:1" ht="11.25" customHeight="1" x14ac:dyDescent="0.3">
      <c r="A54" s="116" t="s">
        <v>189</v>
      </c>
    </row>
    <row r="55" spans="1:1" ht="11.25" customHeight="1" x14ac:dyDescent="0.3">
      <c r="A55" s="116" t="s">
        <v>190</v>
      </c>
    </row>
    <row r="56" spans="1:1" ht="11.25" customHeight="1" x14ac:dyDescent="0.3">
      <c r="A56" s="130" t="s">
        <v>191</v>
      </c>
    </row>
    <row r="57" spans="1:1" ht="11.25" customHeight="1" x14ac:dyDescent="0.3">
      <c r="A57" s="116" t="s">
        <v>192</v>
      </c>
    </row>
    <row r="58" spans="1:1" ht="11.25" customHeight="1" x14ac:dyDescent="0.3">
      <c r="A58" s="116" t="s">
        <v>193</v>
      </c>
    </row>
    <row r="59" spans="1:1" ht="11.25" customHeight="1" x14ac:dyDescent="0.3">
      <c r="A59" s="116" t="s">
        <v>194</v>
      </c>
    </row>
    <row r="60" spans="1:1" ht="11.25" customHeight="1" x14ac:dyDescent="0.3">
      <c r="A60" s="116" t="s">
        <v>195</v>
      </c>
    </row>
    <row r="61" spans="1:1" ht="11.25" customHeight="1" x14ac:dyDescent="0.3">
      <c r="A61" s="116" t="s">
        <v>196</v>
      </c>
    </row>
    <row r="62" spans="1:1" ht="11.25" customHeight="1" x14ac:dyDescent="0.3">
      <c r="A62" s="116" t="s">
        <v>197</v>
      </c>
    </row>
    <row r="63" spans="1:1" ht="11.25" customHeight="1" x14ac:dyDescent="0.3">
      <c r="A63" s="116" t="s">
        <v>198</v>
      </c>
    </row>
    <row r="64" spans="1:1" ht="11.25" customHeight="1" x14ac:dyDescent="0.3">
      <c r="A64" s="116" t="s">
        <v>199</v>
      </c>
    </row>
    <row r="65" spans="1:1" ht="11.25" customHeight="1" x14ac:dyDescent="0.3">
      <c r="A65" s="116" t="s">
        <v>200</v>
      </c>
    </row>
    <row r="66" spans="1:1" ht="11.25" customHeight="1" x14ac:dyDescent="0.3">
      <c r="A66" s="116" t="s">
        <v>201</v>
      </c>
    </row>
    <row r="67" spans="1:1" ht="11.25" customHeight="1" x14ac:dyDescent="0.3">
      <c r="A67" s="116" t="s">
        <v>202</v>
      </c>
    </row>
    <row r="68" spans="1:1" ht="11.25" customHeight="1" x14ac:dyDescent="0.3">
      <c r="A68" s="116" t="s">
        <v>203</v>
      </c>
    </row>
    <row r="69" spans="1:1" ht="11.25" customHeight="1" x14ac:dyDescent="0.3">
      <c r="A69" s="116" t="s">
        <v>204</v>
      </c>
    </row>
    <row r="70" spans="1:1" ht="11.25" customHeight="1" x14ac:dyDescent="0.3">
      <c r="A70" s="116" t="s">
        <v>205</v>
      </c>
    </row>
    <row r="71" spans="1:1" ht="11.25" customHeight="1" x14ac:dyDescent="0.3">
      <c r="A71" s="116" t="s">
        <v>206</v>
      </c>
    </row>
    <row r="72" spans="1:1" ht="11.25" customHeight="1" x14ac:dyDescent="0.3">
      <c r="A72" s="116" t="s">
        <v>207</v>
      </c>
    </row>
    <row r="73" spans="1:1" ht="11.25" customHeight="1" x14ac:dyDescent="0.3">
      <c r="A73" s="116" t="s">
        <v>208</v>
      </c>
    </row>
    <row r="74" spans="1:1" ht="11.25" customHeight="1" x14ac:dyDescent="0.3">
      <c r="A74" s="116" t="s">
        <v>209</v>
      </c>
    </row>
    <row r="75" spans="1:1" ht="11.25" customHeight="1" x14ac:dyDescent="0.3">
      <c r="A75" s="116" t="s">
        <v>210</v>
      </c>
    </row>
    <row r="76" spans="1:1" ht="11.25" customHeight="1" x14ac:dyDescent="0.3">
      <c r="A76" s="116" t="s">
        <v>211</v>
      </c>
    </row>
    <row r="77" spans="1:1" ht="11.25" customHeight="1" x14ac:dyDescent="0.3">
      <c r="A77" s="130" t="s">
        <v>212</v>
      </c>
    </row>
    <row r="78" spans="1:1" ht="11.25" customHeight="1" x14ac:dyDescent="0.3">
      <c r="A78" s="116" t="s">
        <v>213</v>
      </c>
    </row>
    <row r="79" spans="1:1" ht="11.25" customHeight="1" x14ac:dyDescent="0.3">
      <c r="A79" s="116" t="s">
        <v>214</v>
      </c>
    </row>
    <row r="80" spans="1:1" ht="11.25" customHeight="1" x14ac:dyDescent="0.3">
      <c r="A80" s="116" t="s">
        <v>215</v>
      </c>
    </row>
    <row r="81" spans="1:1" ht="11.25" customHeight="1" x14ac:dyDescent="0.3">
      <c r="A81" s="116" t="s">
        <v>216</v>
      </c>
    </row>
    <row r="82" spans="1:1" ht="11.25" customHeight="1" x14ac:dyDescent="0.3">
      <c r="A82" s="116" t="s">
        <v>217</v>
      </c>
    </row>
    <row r="83" spans="1:1" ht="11.25" customHeight="1" x14ac:dyDescent="0.3">
      <c r="A83" s="130" t="s">
        <v>218</v>
      </c>
    </row>
    <row r="84" spans="1:1" ht="11.25" customHeight="1" x14ac:dyDescent="0.3">
      <c r="A84" s="116" t="s">
        <v>219</v>
      </c>
    </row>
    <row r="85" spans="1:1" ht="11.25" customHeight="1" x14ac:dyDescent="0.3">
      <c r="A85" s="116" t="s">
        <v>220</v>
      </c>
    </row>
    <row r="86" spans="1:1" ht="11.25" customHeight="1" x14ac:dyDescent="0.3">
      <c r="A86" s="116" t="s">
        <v>221</v>
      </c>
    </row>
  </sheetData>
  <sheetProtection formatColumns="0" formatRows="0" insertRows="0" deleteColumns="0" deleteRows="0" sort="0" autoFilter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34E4-91A9-EB03-B511-A4834760D129}">
  <sheetPr>
    <tabColor theme="3" tint="0.79998168889431442"/>
  </sheetPr>
  <dimension ref="A1:O47"/>
  <sheetViews>
    <sheetView showGridLines="0" topLeftCell="F9" workbookViewId="0"/>
  </sheetViews>
  <sheetFormatPr defaultColWidth="9.109375" defaultRowHeight="11.25" customHeight="1" x14ac:dyDescent="0.3"/>
  <cols>
    <col min="1" max="5" width="7.6640625" hidden="1" customWidth="1"/>
    <col min="6" max="6" width="2" customWidth="1"/>
    <col min="7" max="7" width="6.6640625" customWidth="1"/>
    <col min="8" max="8" width="107.6640625" customWidth="1"/>
    <col min="9" max="9" width="0.88671875" customWidth="1"/>
    <col min="10" max="14" width="11.6640625" customWidth="1"/>
    <col min="15" max="15" width="1.44140625" customWidth="1"/>
  </cols>
  <sheetData>
    <row r="1" spans="7:15" ht="11.25" hidden="1" customHeight="1" x14ac:dyDescent="0.3"/>
    <row r="2" spans="7:15" ht="11.25" hidden="1" customHeight="1" x14ac:dyDescent="0.3"/>
    <row r="3" spans="7:15" ht="11.25" hidden="1" customHeight="1" x14ac:dyDescent="0.3"/>
    <row r="4" spans="7:15" ht="11.25" hidden="1" customHeight="1" x14ac:dyDescent="0.3"/>
    <row r="5" spans="7:15" ht="11.25" hidden="1" customHeight="1" x14ac:dyDescent="0.3"/>
    <row r="6" spans="7:15" ht="11.25" hidden="1" customHeight="1" x14ac:dyDescent="0.3"/>
    <row r="7" spans="7:15" ht="11.25" hidden="1" customHeight="1" x14ac:dyDescent="0.3"/>
    <row r="8" spans="7:15" ht="11.25" hidden="1" customHeight="1" x14ac:dyDescent="0.3"/>
    <row r="9" spans="7:15" ht="11.25" customHeight="1" x14ac:dyDescent="0.3">
      <c r="J9" s="155"/>
      <c r="K9" s="155"/>
      <c r="L9" s="155"/>
      <c r="N9" s="156"/>
      <c r="O9" s="156"/>
    </row>
    <row r="10" spans="7:15" ht="20.25" customHeight="1" x14ac:dyDescent="0.3">
      <c r="G10" s="302" t="s">
        <v>2011</v>
      </c>
      <c r="H10" s="302"/>
      <c r="I10" s="302"/>
      <c r="J10" s="302"/>
      <c r="K10" s="302"/>
      <c r="L10" s="302"/>
      <c r="M10" s="302"/>
      <c r="N10" s="302"/>
    </row>
    <row r="11" spans="7:15" ht="3.75" customHeight="1" x14ac:dyDescent="0.3">
      <c r="G11" s="276"/>
      <c r="H11" s="276"/>
      <c r="J11" s="157"/>
      <c r="K11" s="158"/>
      <c r="L11" s="158"/>
      <c r="M11" s="159"/>
      <c r="N11" s="158"/>
    </row>
    <row r="12" spans="7:15" ht="15" customHeight="1" x14ac:dyDescent="0.3">
      <c r="G12" s="303" t="s">
        <v>2012</v>
      </c>
      <c r="H12" s="303" t="s">
        <v>2013</v>
      </c>
      <c r="J12" s="305" t="str">
        <f>IF(FIRST_PERIOD_IN_FACT="","Не определено",FIRST_PERIOD_IN_FACT)&amp;" год"</f>
        <v>2022 год</v>
      </c>
      <c r="K12" s="305"/>
      <c r="L12" s="305"/>
      <c r="M12" s="305"/>
      <c r="N12" s="305"/>
    </row>
    <row r="13" spans="7:15" ht="15" customHeight="1" x14ac:dyDescent="0.3">
      <c r="G13" s="303"/>
      <c r="H13" s="303"/>
      <c r="J13" s="306" t="s">
        <v>2014</v>
      </c>
      <c r="K13" s="306"/>
      <c r="L13" s="306" t="s">
        <v>2015</v>
      </c>
      <c r="M13" s="308" t="s">
        <v>2016</v>
      </c>
      <c r="N13" s="310" t="s">
        <v>2017</v>
      </c>
    </row>
    <row r="14" spans="7:15" ht="25.5" customHeight="1" x14ac:dyDescent="0.3">
      <c r="G14" s="304"/>
      <c r="H14" s="304"/>
      <c r="J14" s="160" t="s">
        <v>2018</v>
      </c>
      <c r="K14" s="160" t="s">
        <v>2019</v>
      </c>
      <c r="L14" s="307"/>
      <c r="M14" s="309"/>
      <c r="N14" s="311"/>
    </row>
    <row r="15" spans="7:15" ht="1.5" customHeight="1" x14ac:dyDescent="0.3">
      <c r="G15" s="161"/>
      <c r="H15" s="161"/>
      <c r="J15" s="162"/>
      <c r="K15" s="162"/>
      <c r="L15" s="162"/>
      <c r="M15" s="163"/>
      <c r="N15" s="164"/>
    </row>
    <row r="16" spans="7:15" ht="25.5" customHeight="1" x14ac:dyDescent="0.3">
      <c r="G16" s="165" t="s">
        <v>45</v>
      </c>
      <c r="H16" s="166" t="s">
        <v>2020</v>
      </c>
      <c r="J16" s="167"/>
      <c r="K16" s="167"/>
      <c r="L16" s="167"/>
      <c r="M16" s="74"/>
      <c r="N16" s="168">
        <f>(N18+N19)/2</f>
        <v>2</v>
      </c>
    </row>
    <row r="17" spans="7:14" ht="15" customHeight="1" x14ac:dyDescent="0.3">
      <c r="G17" s="169"/>
      <c r="H17" s="166" t="s">
        <v>2021</v>
      </c>
      <c r="J17" s="170"/>
      <c r="K17" s="170"/>
      <c r="L17" s="170"/>
      <c r="M17" s="48"/>
      <c r="N17" s="171"/>
    </row>
    <row r="18" spans="7:14" ht="25.5" customHeight="1" x14ac:dyDescent="0.3">
      <c r="G18" s="49" t="s">
        <v>225</v>
      </c>
      <c r="H18" s="172" t="s">
        <v>2022</v>
      </c>
      <c r="J18" s="173"/>
      <c r="K18" s="173"/>
      <c r="L18" s="174">
        <f>IF(K18&gt;0,J18/K18*100,IF(J18=0,100,120))</f>
        <v>100</v>
      </c>
      <c r="M18" s="48" t="s">
        <v>2023</v>
      </c>
      <c r="N18" s="174">
        <f>IF(L18&lt;80,3,IF(L18&lt;=120,2,1))</f>
        <v>2</v>
      </c>
    </row>
    <row r="19" spans="7:14" ht="25.5" customHeight="1" x14ac:dyDescent="0.3">
      <c r="G19" s="49" t="s">
        <v>2024</v>
      </c>
      <c r="H19" s="172" t="s">
        <v>2025</v>
      </c>
      <c r="J19" s="175"/>
      <c r="K19" s="175"/>
      <c r="L19" s="174">
        <f>IF(K19&gt;0,J19/K19*100,IF(J19=0,100,120))</f>
        <v>100</v>
      </c>
      <c r="M19" s="48" t="s">
        <v>2023</v>
      </c>
      <c r="N19" s="174">
        <f>IF(L19&lt;80,3,IF(L19&lt;=120,2,1))</f>
        <v>2</v>
      </c>
    </row>
    <row r="20" spans="7:14" ht="15" customHeight="1" x14ac:dyDescent="0.3">
      <c r="G20" s="49"/>
      <c r="H20" s="172" t="s">
        <v>2026</v>
      </c>
      <c r="J20" s="176"/>
      <c r="K20" s="177"/>
      <c r="L20" s="171"/>
      <c r="M20" s="48"/>
      <c r="N20" s="171"/>
    </row>
    <row r="21" spans="7:14" ht="15" customHeight="1" x14ac:dyDescent="0.3">
      <c r="G21" s="49" t="s">
        <v>2027</v>
      </c>
      <c r="H21" s="178" t="s">
        <v>2028</v>
      </c>
      <c r="J21" s="175"/>
      <c r="K21" s="175"/>
      <c r="L21" s="174">
        <f>IF(K21&gt;0,J21/K21*100,IF(J21=0,100,120))</f>
        <v>100</v>
      </c>
      <c r="M21" s="48"/>
      <c r="N21" s="171"/>
    </row>
    <row r="22" spans="7:14" ht="35.25" customHeight="1" x14ac:dyDescent="0.3">
      <c r="G22" s="49" t="s">
        <v>2029</v>
      </c>
      <c r="H22" s="178" t="s">
        <v>2030</v>
      </c>
      <c r="J22" s="179"/>
      <c r="K22" s="179"/>
      <c r="L22" s="174">
        <f>IF(K22&gt;0,J22/K22*100,IF(J22=0,100,120))</f>
        <v>100</v>
      </c>
      <c r="M22" s="48"/>
      <c r="N22" s="171"/>
    </row>
    <row r="23" spans="7:14" ht="15" customHeight="1" x14ac:dyDescent="0.3">
      <c r="G23" s="49" t="s">
        <v>2031</v>
      </c>
      <c r="H23" s="178" t="s">
        <v>2032</v>
      </c>
      <c r="J23" s="175"/>
      <c r="K23" s="175"/>
      <c r="L23" s="174">
        <f>IF(K23&gt;0,J23/K23*100,IF(J23=0,100,120))</f>
        <v>100</v>
      </c>
      <c r="M23" s="48"/>
      <c r="N23" s="171"/>
    </row>
    <row r="24" spans="7:14" ht="25.5" customHeight="1" x14ac:dyDescent="0.3">
      <c r="G24" s="49" t="s">
        <v>2033</v>
      </c>
      <c r="H24" s="178" t="s">
        <v>2034</v>
      </c>
      <c r="J24" s="175"/>
      <c r="K24" s="175"/>
      <c r="L24" s="174">
        <f>IF(K24&gt;0,J24/K24*100,IF(J24=0,100,120))</f>
        <v>100</v>
      </c>
      <c r="M24" s="48"/>
      <c r="N24" s="171"/>
    </row>
    <row r="25" spans="7:14" ht="25.5" customHeight="1" x14ac:dyDescent="0.3">
      <c r="G25" s="169" t="s">
        <v>2035</v>
      </c>
      <c r="H25" s="180" t="s">
        <v>2036</v>
      </c>
      <c r="J25" s="176"/>
      <c r="K25" s="177"/>
      <c r="L25" s="171"/>
      <c r="M25" s="48"/>
      <c r="N25" s="181">
        <f>(N27+N28+N29)/3</f>
        <v>2</v>
      </c>
    </row>
    <row r="26" spans="7:14" ht="15" customHeight="1" x14ac:dyDescent="0.3">
      <c r="G26" s="169"/>
      <c r="H26" s="180" t="s">
        <v>2021</v>
      </c>
      <c r="J26" s="176"/>
      <c r="K26" s="177"/>
      <c r="L26" s="171"/>
      <c r="M26" s="48"/>
      <c r="N26" s="171"/>
    </row>
    <row r="27" spans="7:14" ht="15" customHeight="1" x14ac:dyDescent="0.3">
      <c r="G27" s="49" t="s">
        <v>2037</v>
      </c>
      <c r="H27" s="172" t="s">
        <v>2038</v>
      </c>
      <c r="J27" s="179"/>
      <c r="K27" s="179"/>
      <c r="L27" s="174">
        <f>IF(K27&gt;0,J27/K27*100,IF(J27=0,100,120))</f>
        <v>100</v>
      </c>
      <c r="M27" s="48" t="s">
        <v>2023</v>
      </c>
      <c r="N27" s="174">
        <f>IF(L27&lt;80,3,IF(L27&lt;=120,2,1))</f>
        <v>2</v>
      </c>
    </row>
    <row r="28" spans="7:14" ht="25.5" customHeight="1" x14ac:dyDescent="0.3">
      <c r="G28" s="49" t="s">
        <v>2039</v>
      </c>
      <c r="H28" s="172" t="s">
        <v>2040</v>
      </c>
      <c r="J28" s="179"/>
      <c r="K28" s="179"/>
      <c r="L28" s="174">
        <f>IF(K28&gt;0,J28/K28*100,IF(J28=0,100,120))</f>
        <v>100</v>
      </c>
      <c r="M28" s="48" t="s">
        <v>2023</v>
      </c>
      <c r="N28" s="174">
        <f>IF(L28&lt;80,3,IF(L28&lt;=120,2,1))</f>
        <v>2</v>
      </c>
    </row>
    <row r="29" spans="7:14" ht="25.5" customHeight="1" x14ac:dyDescent="0.3">
      <c r="G29" s="49" t="s">
        <v>2041</v>
      </c>
      <c r="H29" s="172" t="s">
        <v>2042</v>
      </c>
      <c r="J29" s="179"/>
      <c r="K29" s="179"/>
      <c r="L29" s="174">
        <f>IF(K29&gt;0,J29/K29*100,IF(J29=0,100,120))</f>
        <v>100</v>
      </c>
      <c r="M29" s="48" t="s">
        <v>2023</v>
      </c>
      <c r="N29" s="174">
        <f>IF(L29&lt;80,3,IF(L29&lt;=120,2,1))</f>
        <v>2</v>
      </c>
    </row>
    <row r="30" spans="7:14" ht="25.5" customHeight="1" x14ac:dyDescent="0.3">
      <c r="G30" s="169" t="s">
        <v>165</v>
      </c>
      <c r="H30" s="180" t="s">
        <v>2043</v>
      </c>
      <c r="J30" s="179"/>
      <c r="K30" s="179"/>
      <c r="L30" s="174">
        <f>IF(K30&gt;0,J30/K30*100,IF(J30=0,100,120))</f>
        <v>100</v>
      </c>
      <c r="M30" s="48" t="s">
        <v>2023</v>
      </c>
      <c r="N30" s="174">
        <f>IF(L30&lt;80,3,IF(L30&lt;=120,2,1))</f>
        <v>2</v>
      </c>
    </row>
    <row r="31" spans="7:14" ht="25.5" customHeight="1" x14ac:dyDescent="0.3">
      <c r="G31" s="169" t="s">
        <v>167</v>
      </c>
      <c r="H31" s="180" t="s">
        <v>2044</v>
      </c>
      <c r="J31" s="179"/>
      <c r="K31" s="179"/>
      <c r="L31" s="174">
        <f>IF(K31&gt;0,J31/K31*100,IF(J31=0,100,120))</f>
        <v>100</v>
      </c>
      <c r="M31" s="48" t="s">
        <v>2023</v>
      </c>
      <c r="N31" s="174">
        <f>IF(L31&lt;80,3,IF(L31&lt;=120,2,1))</f>
        <v>2</v>
      </c>
    </row>
    <row r="32" spans="7:14" ht="25.5" customHeight="1" x14ac:dyDescent="0.3">
      <c r="G32" s="169" t="s">
        <v>170</v>
      </c>
      <c r="H32" s="180" t="s">
        <v>2045</v>
      </c>
      <c r="J32" s="182"/>
      <c r="K32" s="182"/>
      <c r="L32" s="174">
        <f>L33</f>
        <v>100</v>
      </c>
      <c r="M32" s="48" t="s">
        <v>2046</v>
      </c>
      <c r="N32" s="174">
        <f>N33</f>
        <v>2</v>
      </c>
    </row>
    <row r="33" spans="7:15" ht="35.25" customHeight="1" x14ac:dyDescent="0.3">
      <c r="G33" s="49" t="s">
        <v>2047</v>
      </c>
      <c r="H33" s="172" t="s">
        <v>2048</v>
      </c>
      <c r="J33" s="173"/>
      <c r="K33" s="173"/>
      <c r="L33" s="174">
        <f>IF(K33&gt;0,J33/K33*100,IF(J33=0,100,120))</f>
        <v>100</v>
      </c>
      <c r="M33" s="48" t="s">
        <v>2046</v>
      </c>
      <c r="N33" s="174">
        <f>IF(L33&gt;120,3,IF(L33&gt;=80,2,1))</f>
        <v>2</v>
      </c>
    </row>
    <row r="34" spans="7:15" ht="25.5" customHeight="1" x14ac:dyDescent="0.3">
      <c r="G34" s="169" t="s">
        <v>2049</v>
      </c>
      <c r="H34" s="180" t="s">
        <v>2050</v>
      </c>
      <c r="J34" s="176"/>
      <c r="K34" s="176"/>
      <c r="L34" s="171"/>
      <c r="M34" s="48"/>
      <c r="N34" s="181">
        <f>(N36+N37)/2</f>
        <v>2</v>
      </c>
    </row>
    <row r="35" spans="7:15" ht="15" customHeight="1" x14ac:dyDescent="0.3">
      <c r="G35" s="49"/>
      <c r="H35" s="183" t="s">
        <v>2021</v>
      </c>
      <c r="J35" s="176"/>
      <c r="K35" s="176"/>
      <c r="L35" s="171"/>
      <c r="M35" s="48"/>
      <c r="N35" s="171"/>
    </row>
    <row r="36" spans="7:15" ht="25.5" customHeight="1" x14ac:dyDescent="0.3">
      <c r="G36" s="49" t="s">
        <v>2051</v>
      </c>
      <c r="H36" s="172" t="s">
        <v>2052</v>
      </c>
      <c r="J36" s="173"/>
      <c r="K36" s="173"/>
      <c r="L36" s="174">
        <f>IF(K36&gt;0,J36/K36*100,IF(J36=0,100,120))</f>
        <v>100</v>
      </c>
      <c r="M36" s="48" t="s">
        <v>2046</v>
      </c>
      <c r="N36" s="174">
        <f>IF(L36&gt;120,3,IF(L36&gt;=80,2,1))</f>
        <v>2</v>
      </c>
    </row>
    <row r="37" spans="7:15" ht="35.25" customHeight="1" x14ac:dyDescent="0.3">
      <c r="G37" s="49" t="s">
        <v>2053</v>
      </c>
      <c r="H37" s="184" t="s">
        <v>2054</v>
      </c>
      <c r="J37" s="173"/>
      <c r="K37" s="173"/>
      <c r="L37" s="174">
        <f>IF(K37&gt;0,J37/K37*100,IF(J37=0,100,120))</f>
        <v>100</v>
      </c>
      <c r="M37" s="48" t="s">
        <v>2046</v>
      </c>
      <c r="N37" s="174">
        <f>IF(L37&gt;120,3,IF(L37&gt;=80,2,1))</f>
        <v>2</v>
      </c>
    </row>
    <row r="38" spans="7:15" ht="15" customHeight="1" x14ac:dyDescent="0.3">
      <c r="G38" s="169" t="s">
        <v>2055</v>
      </c>
      <c r="H38" s="180" t="s">
        <v>2056</v>
      </c>
      <c r="J38" s="170"/>
      <c r="K38" s="170"/>
      <c r="L38" s="170"/>
      <c r="M38" s="48"/>
      <c r="N38" s="181">
        <f>(N16+N25+N30+N31+N32+N34)/6</f>
        <v>2</v>
      </c>
    </row>
    <row r="39" spans="7:15" ht="5.25" customHeight="1" x14ac:dyDescent="0.3"/>
    <row r="40" spans="7:15" ht="30" customHeight="1" x14ac:dyDescent="0.2">
      <c r="G40" s="77"/>
      <c r="H40" s="22" t="str">
        <f>IF(LEN(ruk_dol)=0,"",ruk_dol)</f>
        <v>Исполнительный директор</v>
      </c>
      <c r="I40" s="299" t="str">
        <f>IF(LEN(ruk_FIO)=0,"",ruk_FIO)</f>
        <v>Иванов Илья Николаевич</v>
      </c>
      <c r="J40" s="299"/>
      <c r="K40" s="299"/>
      <c r="L40" s="300"/>
      <c r="M40" s="300"/>
      <c r="N40" s="300"/>
    </row>
    <row r="41" spans="7:15" ht="15" customHeight="1" x14ac:dyDescent="0.3">
      <c r="H41" s="79" t="s">
        <v>1980</v>
      </c>
      <c r="I41" s="301" t="s">
        <v>2057</v>
      </c>
      <c r="J41" s="276"/>
      <c r="K41" s="276"/>
      <c r="L41" s="301" t="s">
        <v>2058</v>
      </c>
      <c r="M41" s="276"/>
      <c r="N41" s="276"/>
    </row>
    <row r="42" spans="7:15" ht="11.25" customHeight="1" x14ac:dyDescent="0.3">
      <c r="G42" s="185"/>
      <c r="M42" s="185"/>
      <c r="N42" s="185"/>
      <c r="O42" s="185"/>
    </row>
    <row r="43" spans="7:15" ht="11.25" customHeight="1" x14ac:dyDescent="0.3">
      <c r="G43" s="298"/>
      <c r="H43" s="298"/>
      <c r="I43" s="76"/>
      <c r="J43" s="298"/>
      <c r="K43" s="298"/>
      <c r="L43" s="298"/>
      <c r="M43" s="298"/>
      <c r="N43" s="298"/>
      <c r="O43" s="76"/>
    </row>
    <row r="44" spans="7:15" ht="11.25" customHeight="1" x14ac:dyDescent="0.3">
      <c r="G44" s="186"/>
      <c r="H44" s="185"/>
      <c r="I44" s="185"/>
      <c r="N44" s="187"/>
      <c r="O44" s="187"/>
    </row>
    <row r="45" spans="7:15" ht="11.25" customHeight="1" x14ac:dyDescent="0.3">
      <c r="G45" s="298"/>
      <c r="H45" s="298"/>
      <c r="I45" s="76"/>
      <c r="J45" s="276"/>
      <c r="K45" s="276"/>
      <c r="L45" s="276"/>
      <c r="M45" s="276"/>
      <c r="N45" s="276"/>
    </row>
    <row r="46" spans="7:15" ht="11.25" customHeight="1" x14ac:dyDescent="0.3">
      <c r="G46" s="186"/>
      <c r="H46" s="185"/>
      <c r="I46" s="185"/>
    </row>
    <row r="47" spans="7:15" ht="11.25" customHeight="1" x14ac:dyDescent="0.3">
      <c r="G47" s="298"/>
      <c r="H47" s="298"/>
      <c r="I47" s="76"/>
    </row>
  </sheetData>
  <sheetProtection formatColumns="0" formatRows="0" insertRows="0" deleteColumns="0" deleteRows="0" sort="0" autoFilter="0"/>
  <mergeCells count="18">
    <mergeCell ref="G10:N10"/>
    <mergeCell ref="G11:H11"/>
    <mergeCell ref="G12:G14"/>
    <mergeCell ref="H12:H14"/>
    <mergeCell ref="J12:N12"/>
    <mergeCell ref="J13:K13"/>
    <mergeCell ref="L13:L14"/>
    <mergeCell ref="M13:M14"/>
    <mergeCell ref="N13:N14"/>
    <mergeCell ref="G45:H45"/>
    <mergeCell ref="J45:N45"/>
    <mergeCell ref="G47:H47"/>
    <mergeCell ref="I40:K40"/>
    <mergeCell ref="L40:N40"/>
    <mergeCell ref="I41:K41"/>
    <mergeCell ref="L41:N41"/>
    <mergeCell ref="G43:H43"/>
    <mergeCell ref="J43:N43"/>
  </mergeCells>
  <dataValidations count="3">
    <dataValidation type="whole" allowBlank="1" showErrorMessage="1" errorTitle="Ошибка" error="Допускается ввод только неотрицательных целых чисел!" sqref="J19:K19 J23:K24 J21:K21" xr:uid="{00000000-0002-0000-0900-000000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36:K37 J32:K33 J18:K18" xr:uid="{00000000-0002-0000-0900-000001000000}">
      <formula1>0</formula1>
      <formula2>9.99999999999999E+23</formula2>
    </dataValidation>
    <dataValidation type="list" allowBlank="1" showInputMessage="1" showErrorMessage="1" sqref="J22:K22 J27:K31" xr:uid="{00000000-0002-0000-0900-000002000000}">
      <formula1>"0,1"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33FBD-D9F6-2F87-3307-6E4FB0DA3706}">
  <sheetPr>
    <tabColor theme="3" tint="0.79998168889431442"/>
  </sheetPr>
  <dimension ref="A1:N41"/>
  <sheetViews>
    <sheetView showGridLines="0" topLeftCell="F9" workbookViewId="0"/>
  </sheetViews>
  <sheetFormatPr defaultColWidth="9.109375" defaultRowHeight="11.25" customHeight="1" x14ac:dyDescent="0.3"/>
  <cols>
    <col min="1" max="5" width="7.5546875" hidden="1" customWidth="1"/>
    <col min="6" max="6" width="1.44140625" customWidth="1"/>
    <col min="7" max="7" width="6.6640625" customWidth="1"/>
    <col min="8" max="8" width="96.5546875" customWidth="1"/>
    <col min="9" max="9" width="0.88671875" customWidth="1"/>
    <col min="10" max="10" width="13.33203125" customWidth="1"/>
    <col min="11" max="11" width="12.33203125" customWidth="1"/>
    <col min="12" max="12" width="10.6640625" customWidth="1"/>
    <col min="15" max="15" width="1.6640625" customWidth="1"/>
  </cols>
  <sheetData>
    <row r="1" spans="7:14" ht="17.25" hidden="1" customHeight="1" x14ac:dyDescent="0.3"/>
    <row r="2" spans="7:14" ht="17.25" hidden="1" customHeight="1" x14ac:dyDescent="0.3"/>
    <row r="3" spans="7:14" ht="17.25" hidden="1" customHeight="1" x14ac:dyDescent="0.3"/>
    <row r="4" spans="7:14" ht="17.25" hidden="1" customHeight="1" x14ac:dyDescent="0.3"/>
    <row r="5" spans="7:14" ht="17.25" hidden="1" customHeight="1" x14ac:dyDescent="0.3"/>
    <row r="6" spans="7:14" ht="17.25" hidden="1" customHeight="1" x14ac:dyDescent="0.3"/>
    <row r="7" spans="7:14" ht="17.25" hidden="1" customHeight="1" x14ac:dyDescent="0.3"/>
    <row r="8" spans="7:14" ht="17.25" hidden="1" customHeight="1" x14ac:dyDescent="0.3"/>
    <row r="9" spans="7:14" ht="17.25" customHeight="1" x14ac:dyDescent="0.3">
      <c r="J9" s="188"/>
      <c r="K9" s="188"/>
      <c r="L9" s="188"/>
      <c r="N9" s="189"/>
    </row>
    <row r="10" spans="7:14" ht="20.25" customHeight="1" x14ac:dyDescent="0.3">
      <c r="G10" s="312" t="s">
        <v>2059</v>
      </c>
      <c r="H10" s="312"/>
      <c r="I10" s="312"/>
      <c r="J10" s="312"/>
      <c r="K10" s="312"/>
      <c r="L10" s="312"/>
      <c r="M10" s="312"/>
      <c r="N10" s="312"/>
    </row>
    <row r="11" spans="7:14" ht="5.25" customHeight="1" x14ac:dyDescent="0.3">
      <c r="G11" s="276"/>
      <c r="H11" s="276"/>
      <c r="K11" s="190"/>
      <c r="L11" s="190"/>
      <c r="M11" s="191"/>
      <c r="N11" s="190"/>
    </row>
    <row r="12" spans="7:14" ht="15" customHeight="1" x14ac:dyDescent="0.3">
      <c r="G12" s="303" t="s">
        <v>2012</v>
      </c>
      <c r="H12" s="303" t="s">
        <v>2013</v>
      </c>
      <c r="J12" s="313" t="str">
        <f>IF(FIRST_PERIOD_IN_FACT="","Не определено",FIRST_PERIOD_IN_FACT)&amp;" год"</f>
        <v>2022 год</v>
      </c>
      <c r="K12" s="314"/>
      <c r="L12" s="314"/>
      <c r="M12" s="314"/>
      <c r="N12" s="315"/>
    </row>
    <row r="13" spans="7:14" ht="15" customHeight="1" x14ac:dyDescent="0.3">
      <c r="G13" s="303"/>
      <c r="H13" s="303"/>
      <c r="J13" s="316" t="s">
        <v>2014</v>
      </c>
      <c r="K13" s="316"/>
      <c r="L13" s="316" t="s">
        <v>2015</v>
      </c>
      <c r="M13" s="308" t="s">
        <v>2060</v>
      </c>
      <c r="N13" s="316" t="s">
        <v>2061</v>
      </c>
    </row>
    <row r="14" spans="7:14" ht="25.5" customHeight="1" x14ac:dyDescent="0.3">
      <c r="G14" s="303"/>
      <c r="H14" s="303"/>
      <c r="J14" s="49" t="s">
        <v>2062</v>
      </c>
      <c r="K14" s="49" t="s">
        <v>2063</v>
      </c>
      <c r="L14" s="303"/>
      <c r="M14" s="317"/>
      <c r="N14" s="303"/>
    </row>
    <row r="15" spans="7:14" ht="1.5" customHeight="1" x14ac:dyDescent="0.3"/>
    <row r="16" spans="7:14" ht="15" customHeight="1" x14ac:dyDescent="0.3">
      <c r="G16" s="169" t="s">
        <v>45</v>
      </c>
      <c r="H16" s="192" t="s">
        <v>2064</v>
      </c>
      <c r="J16" s="170"/>
      <c r="K16" s="170"/>
      <c r="L16" s="171"/>
      <c r="M16" s="48"/>
      <c r="N16" s="181">
        <f>(N18+N19+N22)/3</f>
        <v>0.5</v>
      </c>
    </row>
    <row r="17" spans="7:14" ht="15" customHeight="1" x14ac:dyDescent="0.3">
      <c r="G17" s="169"/>
      <c r="H17" s="192" t="s">
        <v>2021</v>
      </c>
      <c r="J17" s="170"/>
      <c r="K17" s="170"/>
      <c r="L17" s="171"/>
      <c r="M17" s="48"/>
      <c r="N17" s="170"/>
    </row>
    <row r="18" spans="7:14" ht="25.5" customHeight="1" x14ac:dyDescent="0.3">
      <c r="G18" s="49" t="s">
        <v>225</v>
      </c>
      <c r="H18" s="81" t="s">
        <v>2065</v>
      </c>
      <c r="J18" s="193"/>
      <c r="K18" s="193"/>
      <c r="L18" s="174">
        <f>IF(K18&gt;0,J18/K18*100,IF(J18=0,100,120))</f>
        <v>100</v>
      </c>
      <c r="M18" s="48" t="s">
        <v>2046</v>
      </c>
      <c r="N18" s="194">
        <f>IF(L18&gt;120,0.75,IF(L18&gt;=80,0.5,0.25))</f>
        <v>0.5</v>
      </c>
    </row>
    <row r="19" spans="7:14" ht="25.5" customHeight="1" x14ac:dyDescent="0.3">
      <c r="G19" s="49" t="s">
        <v>2024</v>
      </c>
      <c r="H19" s="81" t="s">
        <v>2066</v>
      </c>
      <c r="J19" s="170"/>
      <c r="K19" s="170"/>
      <c r="L19" s="171"/>
      <c r="M19" s="48" t="s">
        <v>2046</v>
      </c>
      <c r="N19" s="181">
        <f>AVERAGE(N20:N21)</f>
        <v>0.5</v>
      </c>
    </row>
    <row r="20" spans="7:14" ht="25.5" customHeight="1" x14ac:dyDescent="0.3">
      <c r="G20" s="49" t="s">
        <v>2027</v>
      </c>
      <c r="H20" s="195" t="s">
        <v>2067</v>
      </c>
      <c r="J20" s="193"/>
      <c r="K20" s="193"/>
      <c r="L20" s="174">
        <f>IF(K20&gt;0,J20/K20*100,IF(J20=0,100,120))</f>
        <v>100</v>
      </c>
      <c r="M20" s="48"/>
      <c r="N20" s="194">
        <f>IF(L20&gt;120,0.75,IF(L20&gt;=80,0.5,0.25))</f>
        <v>0.5</v>
      </c>
    </row>
    <row r="21" spans="7:14" ht="15" customHeight="1" x14ac:dyDescent="0.3">
      <c r="G21" s="49" t="s">
        <v>2029</v>
      </c>
      <c r="H21" s="195" t="s">
        <v>2068</v>
      </c>
      <c r="J21" s="193"/>
      <c r="K21" s="193"/>
      <c r="L21" s="174">
        <f>IF(K21&gt;0,J21/K21*100,IF(J21=0,100,120))</f>
        <v>100</v>
      </c>
      <c r="M21" s="48"/>
      <c r="N21" s="194">
        <f>IF(L21&lt;80,0.25,IF(L21&gt;=80,IF(L21&lt;=120,0.5,0.75)))</f>
        <v>0.5</v>
      </c>
    </row>
    <row r="22" spans="7:14" ht="35.25" customHeight="1" x14ac:dyDescent="0.3">
      <c r="G22" s="49" t="s">
        <v>2069</v>
      </c>
      <c r="H22" s="81" t="s">
        <v>2070</v>
      </c>
      <c r="J22" s="173"/>
      <c r="K22" s="173"/>
      <c r="L22" s="174">
        <f>IF(K22&gt;0,J22/K22*100,IF(J22=0,100,120))</f>
        <v>100</v>
      </c>
      <c r="M22" s="48" t="s">
        <v>2046</v>
      </c>
      <c r="N22" s="194">
        <f>IF(L22&gt;120,0.75,IF(L22&gt;=80,0.5,0.25))</f>
        <v>0.5</v>
      </c>
    </row>
    <row r="23" spans="7:14" ht="25.5" customHeight="1" x14ac:dyDescent="0.3">
      <c r="G23" s="169" t="s">
        <v>2035</v>
      </c>
      <c r="H23" s="196" t="s">
        <v>2071</v>
      </c>
      <c r="J23" s="197"/>
      <c r="K23" s="197"/>
      <c r="L23" s="174">
        <f>L24</f>
        <v>100</v>
      </c>
      <c r="M23" s="48" t="s">
        <v>2046</v>
      </c>
      <c r="N23" s="194">
        <f>N24</f>
        <v>0.5</v>
      </c>
    </row>
    <row r="24" spans="7:14" ht="25.5" customHeight="1" x14ac:dyDescent="0.3">
      <c r="G24" s="49" t="s">
        <v>2037</v>
      </c>
      <c r="H24" s="81" t="s">
        <v>2072</v>
      </c>
      <c r="J24" s="173"/>
      <c r="K24" s="173"/>
      <c r="L24" s="174">
        <f>IF(K24&gt;0,J24/K24*100,IF(J24=0,100,120))</f>
        <v>100</v>
      </c>
      <c r="M24" s="48" t="s">
        <v>2046</v>
      </c>
      <c r="N24" s="194">
        <f>IF(L24&gt;120,0.75,IF(L24&gt;=80,0.5,0.25))</f>
        <v>0.5</v>
      </c>
    </row>
    <row r="25" spans="7:14" ht="15" customHeight="1" x14ac:dyDescent="0.3">
      <c r="G25" s="169" t="s">
        <v>165</v>
      </c>
      <c r="H25" s="192" t="s">
        <v>2073</v>
      </c>
      <c r="J25" s="170"/>
      <c r="K25" s="170"/>
      <c r="L25" s="171"/>
      <c r="M25" s="48"/>
      <c r="N25" s="181">
        <f>(N27+N28)/2</f>
        <v>0.5</v>
      </c>
    </row>
    <row r="26" spans="7:14" ht="15" customHeight="1" x14ac:dyDescent="0.3">
      <c r="G26" s="169"/>
      <c r="H26" s="192" t="s">
        <v>2021</v>
      </c>
      <c r="J26" s="170"/>
      <c r="K26" s="170"/>
      <c r="L26" s="171"/>
      <c r="M26" s="48"/>
      <c r="N26" s="182"/>
    </row>
    <row r="27" spans="7:14" ht="25.5" customHeight="1" x14ac:dyDescent="0.3">
      <c r="G27" s="49" t="s">
        <v>2074</v>
      </c>
      <c r="H27" s="81" t="s">
        <v>2075</v>
      </c>
      <c r="J27" s="179"/>
      <c r="K27" s="179"/>
      <c r="L27" s="174">
        <f>IF(K27&gt;0,J27/K27*100,IF(J27=0,100,120))</f>
        <v>100</v>
      </c>
      <c r="M27" s="48" t="s">
        <v>2023</v>
      </c>
      <c r="N27" s="194">
        <f>IF(L27&lt;80,0.75,IF(L27&lt;=120,0.5,0.25))</f>
        <v>0.5</v>
      </c>
    </row>
    <row r="28" spans="7:14" ht="35.25" customHeight="1" x14ac:dyDescent="0.3">
      <c r="G28" s="49" t="s">
        <v>2076</v>
      </c>
      <c r="H28" s="81" t="s">
        <v>2077</v>
      </c>
      <c r="J28" s="173"/>
      <c r="K28" s="173"/>
      <c r="L28" s="174">
        <f>IF(K28&gt;0,J28/K28*100,IF(J28=0,100,120))</f>
        <v>100</v>
      </c>
      <c r="M28" s="48" t="s">
        <v>2046</v>
      </c>
      <c r="N28" s="194">
        <f>IF(L28&gt;120,0.75,IF(L28&gt;=80,0.5,0.25))</f>
        <v>0.5</v>
      </c>
    </row>
    <row r="29" spans="7:14" ht="25.5" customHeight="1" x14ac:dyDescent="0.3">
      <c r="G29" s="169" t="s">
        <v>167</v>
      </c>
      <c r="H29" s="192" t="s">
        <v>2078</v>
      </c>
      <c r="J29" s="197"/>
      <c r="K29" s="197"/>
      <c r="L29" s="174">
        <f>L30</f>
        <v>100</v>
      </c>
      <c r="M29" s="48" t="s">
        <v>2046</v>
      </c>
      <c r="N29" s="194">
        <f>N30</f>
        <v>0.2</v>
      </c>
    </row>
    <row r="30" spans="7:14" ht="35.25" customHeight="1" x14ac:dyDescent="0.3">
      <c r="G30" s="49" t="s">
        <v>2079</v>
      </c>
      <c r="H30" s="81" t="s">
        <v>2080</v>
      </c>
      <c r="J30" s="173"/>
      <c r="K30" s="173"/>
      <c r="L30" s="174">
        <f>IF(K30&gt;0,J30/K30*100,IF(J30=0,100,120))</f>
        <v>100</v>
      </c>
      <c r="M30" s="48" t="s">
        <v>2046</v>
      </c>
      <c r="N30" s="194">
        <f>IF(L30&gt;120,0.3,IF(L30&gt;=80,0.2,0.1))</f>
        <v>0.2</v>
      </c>
    </row>
    <row r="31" spans="7:14" ht="15" customHeight="1" x14ac:dyDescent="0.3">
      <c r="G31" s="169" t="s">
        <v>170</v>
      </c>
      <c r="H31" s="192" t="s">
        <v>2081</v>
      </c>
      <c r="J31" s="170"/>
      <c r="K31" s="170"/>
      <c r="L31" s="171"/>
      <c r="M31" s="48"/>
      <c r="N31" s="181">
        <f>(N16+N23+N25+N29)/4</f>
        <v>0.42499999999999999</v>
      </c>
    </row>
    <row r="32" spans="7:14" ht="5.25" customHeight="1" x14ac:dyDescent="0.3"/>
    <row r="33" spans="7:14" ht="30" customHeight="1" x14ac:dyDescent="0.2">
      <c r="G33" s="77"/>
      <c r="H33" s="22" t="str">
        <f>IF(LEN(ruk_dol)=0,"",ruk_dol)</f>
        <v>Исполнительный директор</v>
      </c>
      <c r="I33" s="299"/>
      <c r="J33" s="299"/>
      <c r="K33" s="299"/>
      <c r="L33" s="300"/>
      <c r="M33" s="300"/>
      <c r="N33" s="300"/>
    </row>
    <row r="34" spans="7:14" ht="15" customHeight="1" x14ac:dyDescent="0.3">
      <c r="H34" s="79" t="s">
        <v>1980</v>
      </c>
      <c r="I34" s="276"/>
      <c r="J34" s="276"/>
      <c r="K34" s="276"/>
      <c r="L34" s="301" t="s">
        <v>2058</v>
      </c>
      <c r="M34" s="276"/>
      <c r="N34" s="276"/>
    </row>
    <row r="35" spans="7:14" ht="11.25" customHeight="1" x14ac:dyDescent="0.3">
      <c r="G35" s="185"/>
      <c r="H35" s="185"/>
      <c r="I35" s="185"/>
      <c r="N35" s="187"/>
    </row>
    <row r="36" spans="7:14" ht="11.25" customHeight="1" x14ac:dyDescent="0.3">
      <c r="G36" s="298"/>
      <c r="H36" s="298"/>
      <c r="I36" s="76"/>
      <c r="J36" s="298"/>
      <c r="K36" s="298"/>
      <c r="L36" s="298"/>
      <c r="M36" s="298"/>
      <c r="N36" s="298"/>
    </row>
    <row r="37" spans="7:14" ht="11.25" customHeight="1" x14ac:dyDescent="0.3">
      <c r="G37" s="186"/>
      <c r="H37" s="185"/>
      <c r="I37" s="185"/>
      <c r="N37" s="187"/>
    </row>
    <row r="38" spans="7:14" ht="11.25" customHeight="1" x14ac:dyDescent="0.3">
      <c r="G38" s="298"/>
      <c r="H38" s="298"/>
      <c r="I38" s="76"/>
      <c r="J38" s="276"/>
      <c r="K38" s="276"/>
      <c r="L38" s="276"/>
      <c r="M38" s="276"/>
      <c r="N38" s="276"/>
    </row>
    <row r="39" spans="7:14" ht="11.25" customHeight="1" x14ac:dyDescent="0.3">
      <c r="G39" s="186"/>
      <c r="H39" s="185"/>
      <c r="I39" s="185"/>
    </row>
    <row r="40" spans="7:14" ht="11.25" customHeight="1" x14ac:dyDescent="0.3">
      <c r="G40" s="298"/>
      <c r="H40" s="298"/>
      <c r="I40" s="76"/>
    </row>
    <row r="41" spans="7:14" ht="56.25" customHeight="1" x14ac:dyDescent="0.3"/>
  </sheetData>
  <sheetProtection formatColumns="0" formatRows="0" insertRows="0" deleteColumns="0" deleteRows="0" sort="0" autoFilter="0"/>
  <mergeCells count="18">
    <mergeCell ref="G10:N10"/>
    <mergeCell ref="G11:H11"/>
    <mergeCell ref="G12:G14"/>
    <mergeCell ref="H12:H14"/>
    <mergeCell ref="J12:N12"/>
    <mergeCell ref="J13:K13"/>
    <mergeCell ref="L13:L14"/>
    <mergeCell ref="M13:M14"/>
    <mergeCell ref="N13:N14"/>
    <mergeCell ref="G38:H38"/>
    <mergeCell ref="J38:N38"/>
    <mergeCell ref="G40:H40"/>
    <mergeCell ref="I33:K33"/>
    <mergeCell ref="L33:N33"/>
    <mergeCell ref="I34:K34"/>
    <mergeCell ref="L34:N34"/>
    <mergeCell ref="G36:H36"/>
    <mergeCell ref="J36:N36"/>
  </mergeCells>
  <dataValidations count="2">
    <dataValidation type="decimal" allowBlank="1" showErrorMessage="1" errorTitle="Ошибка" error="Допускается ввод только неотрицательных чисел!" sqref="J28:K30 J20:K24 J18:K18" xr:uid="{00000000-0002-0000-0A00-000000000000}">
      <formula1>0</formula1>
      <formula2>9.99999999999999E+23</formula2>
    </dataValidation>
    <dataValidation type="list" allowBlank="1" showInputMessage="1" showErrorMessage="1" sqref="J27:K27" xr:uid="{00000000-0002-0000-0A00-000001000000}">
      <formula1>"0,1"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06C1-BD0F-E131-285C-FE3AE26CF3E8}">
  <sheetPr>
    <tabColor theme="3" tint="0.79998168889431442"/>
  </sheetPr>
  <dimension ref="A1:O48"/>
  <sheetViews>
    <sheetView showGridLines="0" topLeftCell="F9" workbookViewId="0"/>
  </sheetViews>
  <sheetFormatPr defaultColWidth="9.109375" defaultRowHeight="11.25" customHeight="1" x14ac:dyDescent="0.3"/>
  <cols>
    <col min="1" max="5" width="6.88671875" hidden="1" customWidth="1"/>
    <col min="6" max="6" width="3" customWidth="1"/>
    <col min="7" max="7" width="6.6640625" customWidth="1"/>
    <col min="8" max="8" width="96.33203125" customWidth="1"/>
    <col min="9" max="9" width="0.88671875" customWidth="1"/>
    <col min="10" max="11" width="11.6640625" customWidth="1"/>
    <col min="12" max="12" width="13.44140625" customWidth="1"/>
    <col min="15" max="15" width="1.109375" customWidth="1"/>
  </cols>
  <sheetData>
    <row r="1" spans="7:15" ht="10.5" hidden="1" customHeight="1" x14ac:dyDescent="0.3"/>
    <row r="2" spans="7:15" ht="10.5" hidden="1" customHeight="1" x14ac:dyDescent="0.3"/>
    <row r="3" spans="7:15" ht="10.5" hidden="1" customHeight="1" x14ac:dyDescent="0.3"/>
    <row r="4" spans="7:15" ht="10.5" hidden="1" customHeight="1" x14ac:dyDescent="0.3"/>
    <row r="5" spans="7:15" ht="10.5" hidden="1" customHeight="1" x14ac:dyDescent="0.3"/>
    <row r="6" spans="7:15" ht="10.5" hidden="1" customHeight="1" x14ac:dyDescent="0.3"/>
    <row r="7" spans="7:15" ht="10.5" hidden="1" customHeight="1" x14ac:dyDescent="0.3"/>
    <row r="8" spans="7:15" ht="10.5" hidden="1" customHeight="1" x14ac:dyDescent="0.2">
      <c r="J8" s="189"/>
      <c r="K8" s="189"/>
      <c r="O8" s="198"/>
    </row>
    <row r="9" spans="7:15" ht="10.5" customHeight="1" x14ac:dyDescent="0.2">
      <c r="O9" s="198"/>
    </row>
    <row r="10" spans="7:15" ht="18.75" customHeight="1" x14ac:dyDescent="0.3">
      <c r="G10" s="312" t="s">
        <v>2082</v>
      </c>
      <c r="H10" s="312"/>
      <c r="I10" s="312"/>
      <c r="J10" s="312"/>
      <c r="K10" s="312"/>
      <c r="L10" s="312"/>
      <c r="M10" s="312"/>
      <c r="N10" s="312"/>
    </row>
    <row r="11" spans="7:15" ht="5.25" customHeight="1" x14ac:dyDescent="0.3">
      <c r="G11" s="276"/>
      <c r="H11" s="276"/>
    </row>
    <row r="12" spans="7:15" ht="15" customHeight="1" x14ac:dyDescent="0.3">
      <c r="G12" s="303" t="s">
        <v>2012</v>
      </c>
      <c r="H12" s="317" t="s">
        <v>2013</v>
      </c>
      <c r="J12" s="305" t="str">
        <f>IF(FIRST_PERIOD_IN_FACT="","Не определено",FIRST_PERIOD_IN_FACT)&amp;" год"</f>
        <v>2022 год</v>
      </c>
      <c r="K12" s="305"/>
      <c r="L12" s="305"/>
      <c r="M12" s="305"/>
      <c r="N12" s="305"/>
    </row>
    <row r="13" spans="7:15" ht="15" customHeight="1" x14ac:dyDescent="0.3">
      <c r="G13" s="303"/>
      <c r="H13" s="317"/>
      <c r="J13" s="303" t="s">
        <v>2014</v>
      </c>
      <c r="K13" s="303"/>
      <c r="L13" s="303" t="s">
        <v>2015</v>
      </c>
      <c r="M13" s="317" t="s">
        <v>2060</v>
      </c>
      <c r="N13" s="303" t="s">
        <v>2061</v>
      </c>
    </row>
    <row r="14" spans="7:15" ht="25.5" customHeight="1" x14ac:dyDescent="0.3">
      <c r="G14" s="304"/>
      <c r="H14" s="309"/>
      <c r="J14" s="52" t="s">
        <v>2062</v>
      </c>
      <c r="K14" s="52" t="s">
        <v>2063</v>
      </c>
      <c r="L14" s="304"/>
      <c r="M14" s="309"/>
      <c r="N14" s="304"/>
    </row>
    <row r="15" spans="7:15" ht="1.5" customHeight="1" x14ac:dyDescent="0.3">
      <c r="G15" s="199"/>
      <c r="H15" s="163"/>
      <c r="J15" s="161"/>
      <c r="K15" s="161"/>
      <c r="L15" s="161"/>
      <c r="M15" s="163"/>
      <c r="N15" s="161"/>
      <c r="O15" s="200"/>
    </row>
    <row r="16" spans="7:15" ht="25.5" customHeight="1" x14ac:dyDescent="0.3">
      <c r="G16" s="201" t="s">
        <v>45</v>
      </c>
      <c r="H16" s="202" t="s">
        <v>2083</v>
      </c>
      <c r="J16" s="179"/>
      <c r="K16" s="179"/>
      <c r="L16" s="203">
        <f>IF(K16&gt;0,J16/K16*100,IF(J16=0,100,120))</f>
        <v>100</v>
      </c>
      <c r="M16" s="74" t="s">
        <v>2023</v>
      </c>
      <c r="N16" s="203">
        <f>IF(L16&lt;80,3,IF(L16&lt;=120,2,1))</f>
        <v>2</v>
      </c>
      <c r="O16" s="204"/>
    </row>
    <row r="17" spans="7:15" ht="15" customHeight="1" x14ac:dyDescent="0.3">
      <c r="G17" s="169" t="s">
        <v>2035</v>
      </c>
      <c r="H17" s="192" t="s">
        <v>2084</v>
      </c>
      <c r="J17" s="170"/>
      <c r="K17" s="170"/>
      <c r="L17" s="171"/>
      <c r="M17" s="48"/>
      <c r="N17" s="181">
        <f>(N19+N20+N21+N22+N23+N24)/6</f>
        <v>2</v>
      </c>
      <c r="O17" s="204"/>
    </row>
    <row r="18" spans="7:15" ht="15" customHeight="1" x14ac:dyDescent="0.3">
      <c r="G18" s="169"/>
      <c r="H18" s="192" t="s">
        <v>2021</v>
      </c>
      <c r="J18" s="170"/>
      <c r="K18" s="170"/>
      <c r="L18" s="171"/>
      <c r="M18" s="48"/>
      <c r="N18" s="170"/>
      <c r="O18" s="204"/>
    </row>
    <row r="19" spans="7:15" ht="25.5" customHeight="1" x14ac:dyDescent="0.3">
      <c r="G19" s="49" t="s">
        <v>2037</v>
      </c>
      <c r="H19" s="81" t="s">
        <v>2085</v>
      </c>
      <c r="J19" s="173"/>
      <c r="K19" s="173"/>
      <c r="L19" s="174">
        <f t="shared" ref="L19:L24" si="0">IF(K19&gt;0,J19/K19*100,IF(J19=0,100,120))</f>
        <v>100</v>
      </c>
      <c r="M19" s="48" t="s">
        <v>2046</v>
      </c>
      <c r="N19" s="174">
        <f>IF(L19&gt;120,3,IF(L19&gt;=80,2,1))</f>
        <v>2</v>
      </c>
      <c r="O19" s="204"/>
    </row>
    <row r="20" spans="7:15" ht="35.25" customHeight="1" x14ac:dyDescent="0.3">
      <c r="G20" s="49" t="s">
        <v>2039</v>
      </c>
      <c r="H20" s="81" t="s">
        <v>2086</v>
      </c>
      <c r="J20" s="173"/>
      <c r="K20" s="173"/>
      <c r="L20" s="174">
        <f t="shared" si="0"/>
        <v>100</v>
      </c>
      <c r="M20" s="48" t="s">
        <v>2023</v>
      </c>
      <c r="N20" s="174">
        <f>IF(L20&lt;80,3,IF(L20&lt;=120,2,1))</f>
        <v>2</v>
      </c>
      <c r="O20" s="204"/>
    </row>
    <row r="21" spans="7:15" ht="35.25" customHeight="1" x14ac:dyDescent="0.3">
      <c r="G21" s="49" t="s">
        <v>2041</v>
      </c>
      <c r="H21" s="81" t="s">
        <v>2087</v>
      </c>
      <c r="J21" s="173"/>
      <c r="K21" s="173"/>
      <c r="L21" s="174">
        <f t="shared" si="0"/>
        <v>100</v>
      </c>
      <c r="M21" s="48" t="s">
        <v>2046</v>
      </c>
      <c r="N21" s="174">
        <f>IF(L21&gt;120,3,IF(L21&gt;=80,2,1))</f>
        <v>2</v>
      </c>
      <c r="O21" s="204"/>
    </row>
    <row r="22" spans="7:15" ht="35.25" customHeight="1" x14ac:dyDescent="0.3">
      <c r="G22" s="49" t="s">
        <v>2088</v>
      </c>
      <c r="H22" s="81" t="s">
        <v>2089</v>
      </c>
      <c r="J22" s="173"/>
      <c r="K22" s="173"/>
      <c r="L22" s="174">
        <f t="shared" si="0"/>
        <v>100</v>
      </c>
      <c r="M22" s="48" t="s">
        <v>2046</v>
      </c>
      <c r="N22" s="174">
        <f>IF(L22&gt;120,3,IF(L22&gt;=80,2,1))</f>
        <v>2</v>
      </c>
      <c r="O22" s="204"/>
    </row>
    <row r="23" spans="7:15" ht="25.5" customHeight="1" x14ac:dyDescent="0.3">
      <c r="G23" s="49" t="s">
        <v>2090</v>
      </c>
      <c r="H23" s="81" t="s">
        <v>2091</v>
      </c>
      <c r="J23" s="173"/>
      <c r="K23" s="173"/>
      <c r="L23" s="174">
        <f t="shared" si="0"/>
        <v>100</v>
      </c>
      <c r="M23" s="48" t="s">
        <v>2023</v>
      </c>
      <c r="N23" s="174">
        <f>IF(L23&lt;80,3,IF(L23&lt;=120,2,1))</f>
        <v>2</v>
      </c>
      <c r="O23" s="204"/>
    </row>
    <row r="24" spans="7:15" ht="25.5" customHeight="1" x14ac:dyDescent="0.3">
      <c r="G24" s="49" t="s">
        <v>2092</v>
      </c>
      <c r="H24" s="81" t="s">
        <v>2093</v>
      </c>
      <c r="J24" s="193"/>
      <c r="K24" s="193"/>
      <c r="L24" s="174">
        <f t="shared" si="0"/>
        <v>100</v>
      </c>
      <c r="M24" s="48" t="s">
        <v>2023</v>
      </c>
      <c r="N24" s="174">
        <f>IF(L24&lt;80,3,IF(L24&lt;=120,2,1))</f>
        <v>2</v>
      </c>
      <c r="O24" s="204"/>
    </row>
    <row r="25" spans="7:15" ht="15" customHeight="1" x14ac:dyDescent="0.3">
      <c r="G25" s="169" t="s">
        <v>165</v>
      </c>
      <c r="H25" s="192" t="s">
        <v>2094</v>
      </c>
      <c r="J25" s="170"/>
      <c r="K25" s="170"/>
      <c r="L25" s="171"/>
      <c r="M25" s="48"/>
      <c r="N25" s="181">
        <f>(N27+N28)/2</f>
        <v>2</v>
      </c>
      <c r="O25" s="204"/>
    </row>
    <row r="26" spans="7:15" ht="15" customHeight="1" x14ac:dyDescent="0.3">
      <c r="G26" s="169"/>
      <c r="H26" s="192" t="s">
        <v>2021</v>
      </c>
      <c r="J26" s="170"/>
      <c r="K26" s="170"/>
      <c r="L26" s="171"/>
      <c r="M26" s="48"/>
      <c r="N26" s="170"/>
      <c r="O26" s="204"/>
    </row>
    <row r="27" spans="7:15" ht="15" customHeight="1" x14ac:dyDescent="0.3">
      <c r="G27" s="49" t="s">
        <v>2074</v>
      </c>
      <c r="H27" s="81" t="s">
        <v>2095</v>
      </c>
      <c r="J27" s="193"/>
      <c r="K27" s="193"/>
      <c r="L27" s="174">
        <f>IF(K27&gt;0,J27/K27*100,IF(J27=0,100,120))</f>
        <v>100</v>
      </c>
      <c r="M27" s="48" t="s">
        <v>2046</v>
      </c>
      <c r="N27" s="174">
        <f>IF(L27&gt;120,3,IF(L27&gt;=80,2,1))</f>
        <v>2</v>
      </c>
      <c r="O27" s="204"/>
    </row>
    <row r="28" spans="7:15" ht="25.5" customHeight="1" x14ac:dyDescent="0.3">
      <c r="G28" s="49" t="s">
        <v>2076</v>
      </c>
      <c r="H28" s="81" t="s">
        <v>2096</v>
      </c>
      <c r="J28" s="170"/>
      <c r="K28" s="170"/>
      <c r="L28" s="171"/>
      <c r="M28" s="48"/>
      <c r="N28" s="181">
        <f>(N29+N30+N31)/3</f>
        <v>2</v>
      </c>
      <c r="O28" s="204"/>
    </row>
    <row r="29" spans="7:15" ht="15" customHeight="1" x14ac:dyDescent="0.3">
      <c r="G29" s="49" t="s">
        <v>2097</v>
      </c>
      <c r="H29" s="195" t="s">
        <v>2098</v>
      </c>
      <c r="J29" s="205"/>
      <c r="K29" s="205"/>
      <c r="L29" s="174">
        <f>IF(K29&gt;0,J29/K29*100,IF(J29=0,100,120))</f>
        <v>100</v>
      </c>
      <c r="M29" s="48" t="s">
        <v>2023</v>
      </c>
      <c r="N29" s="174">
        <f>IF(L29&lt;80,3,IF(L29&lt;=120,2,1))</f>
        <v>2</v>
      </c>
      <c r="O29" s="204"/>
    </row>
    <row r="30" spans="7:15" ht="15" customHeight="1" x14ac:dyDescent="0.3">
      <c r="G30" s="49" t="s">
        <v>2099</v>
      </c>
      <c r="H30" s="195" t="s">
        <v>2100</v>
      </c>
      <c r="J30" s="205"/>
      <c r="K30" s="205"/>
      <c r="L30" s="174">
        <f>IF(K30&gt;0,J30/K30*100,IF(J30=0,100,120))</f>
        <v>100</v>
      </c>
      <c r="M30" s="48" t="s">
        <v>2023</v>
      </c>
      <c r="N30" s="174">
        <f>IF(L30&lt;80,3,IF(L30&lt;=120,2,1))</f>
        <v>2</v>
      </c>
      <c r="O30" s="204"/>
    </row>
    <row r="31" spans="7:15" ht="15" customHeight="1" x14ac:dyDescent="0.3">
      <c r="G31" s="49" t="s">
        <v>2101</v>
      </c>
      <c r="H31" s="195" t="s">
        <v>2102</v>
      </c>
      <c r="J31" s="205"/>
      <c r="K31" s="205"/>
      <c r="L31" s="174">
        <f>IF(K31&gt;0,J31/K31*100,IF(J31=0,100,120))</f>
        <v>100</v>
      </c>
      <c r="M31" s="48" t="s">
        <v>2023</v>
      </c>
      <c r="N31" s="174">
        <f>IF(L31&lt;80,3,IF(L31&lt;=120,2,1))</f>
        <v>2</v>
      </c>
      <c r="O31" s="204"/>
    </row>
    <row r="32" spans="7:15" ht="15" customHeight="1" x14ac:dyDescent="0.3">
      <c r="G32" s="169" t="s">
        <v>167</v>
      </c>
      <c r="H32" s="196" t="s">
        <v>2103</v>
      </c>
      <c r="J32" s="206"/>
      <c r="K32" s="206"/>
      <c r="L32" s="174">
        <f>L33</f>
        <v>100</v>
      </c>
      <c r="M32" s="48" t="s">
        <v>2046</v>
      </c>
      <c r="N32" s="174">
        <f>N33</f>
        <v>2</v>
      </c>
      <c r="O32" s="204"/>
    </row>
    <row r="33" spans="7:15" ht="25.5" customHeight="1" x14ac:dyDescent="0.3">
      <c r="G33" s="49" t="s">
        <v>2079</v>
      </c>
      <c r="H33" s="81" t="s">
        <v>2104</v>
      </c>
      <c r="J33" s="205"/>
      <c r="K33" s="205"/>
      <c r="L33" s="174">
        <f>IF(K33&gt;0,J33/K33*100,IF(J33=0,100,120))</f>
        <v>100</v>
      </c>
      <c r="M33" s="48" t="s">
        <v>2046</v>
      </c>
      <c r="N33" s="174">
        <f>IF(L33&gt;120,3,IF(L33&gt;=80,2,1))</f>
        <v>2</v>
      </c>
      <c r="O33" s="204"/>
    </row>
    <row r="34" spans="7:15" ht="25.5" customHeight="1" x14ac:dyDescent="0.3">
      <c r="G34" s="169" t="s">
        <v>170</v>
      </c>
      <c r="H34" s="192" t="s">
        <v>2105</v>
      </c>
      <c r="J34" s="207"/>
      <c r="K34" s="207"/>
      <c r="L34" s="171"/>
      <c r="M34" s="48"/>
      <c r="N34" s="181">
        <f>(N36+N37)/2</f>
        <v>2</v>
      </c>
      <c r="O34" s="204"/>
    </row>
    <row r="35" spans="7:15" ht="15" customHeight="1" x14ac:dyDescent="0.3">
      <c r="G35" s="49"/>
      <c r="H35" s="71" t="s">
        <v>2021</v>
      </c>
      <c r="J35" s="207"/>
      <c r="K35" s="207"/>
      <c r="L35" s="171"/>
      <c r="M35" s="48"/>
      <c r="N35" s="170"/>
      <c r="O35" s="204"/>
    </row>
    <row r="36" spans="7:15" ht="25.5" customHeight="1" x14ac:dyDescent="0.3">
      <c r="G36" s="49" t="s">
        <v>2047</v>
      </c>
      <c r="H36" s="81" t="s">
        <v>2106</v>
      </c>
      <c r="J36" s="205"/>
      <c r="K36" s="205"/>
      <c r="L36" s="174">
        <f>IF(K36&gt;0,J36/K36*100,IF(J36=0,100,120))</f>
        <v>100</v>
      </c>
      <c r="M36" s="48" t="s">
        <v>2046</v>
      </c>
      <c r="N36" s="174">
        <f>IF(L36&gt;120,3,IF(L36&gt;=80,2,1))</f>
        <v>2</v>
      </c>
      <c r="O36" s="204"/>
    </row>
    <row r="37" spans="7:15" ht="45" customHeight="1" x14ac:dyDescent="0.3">
      <c r="G37" s="49" t="s">
        <v>2107</v>
      </c>
      <c r="H37" s="81" t="s">
        <v>2108</v>
      </c>
      <c r="J37" s="173"/>
      <c r="K37" s="173"/>
      <c r="L37" s="174">
        <f>IF(K37&gt;0,J37/K37*100,IF(J37=0,100,120))</f>
        <v>100</v>
      </c>
      <c r="M37" s="48" t="s">
        <v>2023</v>
      </c>
      <c r="N37" s="174">
        <f>IF(L37&lt;80,3,IF(L37&lt;=120,2,1))</f>
        <v>2</v>
      </c>
      <c r="O37" s="204"/>
    </row>
    <row r="38" spans="7:15" ht="15" customHeight="1" x14ac:dyDescent="0.3">
      <c r="G38" s="169" t="s">
        <v>2049</v>
      </c>
      <c r="H38" s="192" t="s">
        <v>2109</v>
      </c>
      <c r="J38" s="170"/>
      <c r="K38" s="170"/>
      <c r="L38" s="170"/>
      <c r="M38" s="48"/>
      <c r="N38" s="181">
        <f>(N16+N17+N25+N32+N34)/5</f>
        <v>2</v>
      </c>
      <c r="O38" s="204"/>
    </row>
    <row r="39" spans="7:15" ht="5.25" customHeight="1" x14ac:dyDescent="0.3"/>
    <row r="40" spans="7:15" ht="11.25" customHeight="1" x14ac:dyDescent="0.3">
      <c r="G40" s="123" t="s">
        <v>2110</v>
      </c>
    </row>
    <row r="41" spans="7:15" ht="30" customHeight="1" x14ac:dyDescent="0.2">
      <c r="G41" s="77"/>
      <c r="H41" s="22" t="str">
        <f>IF(LEN(ruk_dol)=0,"",ruk_dol)</f>
        <v>Исполнительный директор</v>
      </c>
      <c r="I41" s="299"/>
      <c r="J41" s="299"/>
      <c r="K41" s="299"/>
      <c r="L41" s="300"/>
      <c r="M41" s="300"/>
      <c r="N41" s="300"/>
    </row>
    <row r="42" spans="7:15" ht="15" customHeight="1" x14ac:dyDescent="0.3">
      <c r="H42" s="79" t="s">
        <v>1980</v>
      </c>
      <c r="I42" s="276"/>
      <c r="J42" s="276"/>
      <c r="K42" s="276"/>
      <c r="L42" s="301" t="s">
        <v>2058</v>
      </c>
      <c r="M42" s="276"/>
      <c r="N42" s="276"/>
    </row>
    <row r="43" spans="7:15" ht="11.25" customHeight="1" x14ac:dyDescent="0.3">
      <c r="G43" s="38"/>
      <c r="H43" s="185"/>
      <c r="N43" s="187"/>
      <c r="O43" s="187"/>
    </row>
    <row r="44" spans="7:15" ht="11.25" customHeight="1" x14ac:dyDescent="0.3">
      <c r="G44" s="298"/>
      <c r="H44" s="298"/>
      <c r="J44" s="298"/>
      <c r="K44" s="298"/>
      <c r="L44" s="298"/>
      <c r="M44" s="298"/>
      <c r="N44" s="298"/>
      <c r="O44" s="76"/>
    </row>
    <row r="45" spans="7:15" ht="11.25" customHeight="1" x14ac:dyDescent="0.3">
      <c r="G45" s="208"/>
      <c r="H45" s="185"/>
      <c r="N45" s="187"/>
      <c r="O45" s="187"/>
    </row>
    <row r="46" spans="7:15" ht="11.25" customHeight="1" x14ac:dyDescent="0.3">
      <c r="G46" s="298"/>
      <c r="H46" s="298"/>
      <c r="J46" s="276"/>
      <c r="K46" s="276"/>
      <c r="L46" s="276"/>
      <c r="M46" s="276"/>
      <c r="N46" s="276"/>
    </row>
    <row r="47" spans="7:15" ht="11.25" customHeight="1" x14ac:dyDescent="0.3">
      <c r="G47" s="208"/>
      <c r="H47" s="185"/>
    </row>
    <row r="48" spans="7:15" ht="11.25" customHeight="1" x14ac:dyDescent="0.3">
      <c r="G48" s="298"/>
      <c r="H48" s="298"/>
    </row>
  </sheetData>
  <sheetProtection formatColumns="0" formatRows="0" insertRows="0" deleteColumns="0" deleteRows="0" sort="0" autoFilter="0"/>
  <mergeCells count="18">
    <mergeCell ref="G10:N10"/>
    <mergeCell ref="G11:H11"/>
    <mergeCell ref="G12:G14"/>
    <mergeCell ref="H12:H14"/>
    <mergeCell ref="J12:N12"/>
    <mergeCell ref="J13:K13"/>
    <mergeCell ref="L13:L14"/>
    <mergeCell ref="M13:M14"/>
    <mergeCell ref="N13:N14"/>
    <mergeCell ref="G46:H46"/>
    <mergeCell ref="J46:N46"/>
    <mergeCell ref="G48:H48"/>
    <mergeCell ref="I41:K41"/>
    <mergeCell ref="L41:N41"/>
    <mergeCell ref="I42:K42"/>
    <mergeCell ref="L42:N42"/>
    <mergeCell ref="G44:H44"/>
    <mergeCell ref="J44:N44"/>
  </mergeCells>
  <dataValidations count="2">
    <dataValidation type="decimal" allowBlank="1" showErrorMessage="1" errorTitle="Ошибка" error="Допускается ввод только неотрицательных чисел!" sqref="J36:K37 J19:K24 J29:K33 J27:K27" xr:uid="{00000000-0002-0000-0B00-000000000000}">
      <formula1>0</formula1>
      <formula2>9.99999999999999E+23</formula2>
    </dataValidation>
    <dataValidation type="list" allowBlank="1" showInputMessage="1" showErrorMessage="1" sqref="J16:K16" xr:uid="{00000000-0002-0000-0B00-000001000000}">
      <formula1>"0,1"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ED12-4381-CA27-68F1-91DAE9A33EFC}">
  <sheetPr>
    <tabColor theme="3" tint="0.79998168889431442"/>
  </sheetPr>
  <dimension ref="A1:K21"/>
  <sheetViews>
    <sheetView showGridLines="0" topLeftCell="F9" workbookViewId="0">
      <selection activeCell="I25" sqref="I25"/>
    </sheetView>
  </sheetViews>
  <sheetFormatPr defaultColWidth="9.109375" defaultRowHeight="11.25" customHeight="1" x14ac:dyDescent="0.3"/>
  <cols>
    <col min="1" max="5" width="9.109375" hidden="1"/>
    <col min="6" max="6" width="3.6640625" customWidth="1"/>
    <col min="7" max="7" width="6.5546875" customWidth="1"/>
    <col min="8" max="8" width="60.6640625" customWidth="1"/>
    <col min="9" max="9" width="13.5546875" customWidth="1"/>
    <col min="10" max="10" width="15.88671875" hidden="1" customWidth="1"/>
    <col min="11" max="11" width="19.5546875" customWidth="1"/>
  </cols>
  <sheetData>
    <row r="1" spans="7:10" ht="10.5" hidden="1" customHeight="1" x14ac:dyDescent="0.2">
      <c r="J1" s="99" t="b">
        <f>REPORT_OWNER="Версия регулятора"</f>
        <v>0</v>
      </c>
    </row>
    <row r="2" spans="7:10" ht="10.5" hidden="1" customHeight="1" x14ac:dyDescent="0.3"/>
    <row r="3" spans="7:10" ht="10.5" hidden="1" customHeight="1" x14ac:dyDescent="0.3"/>
    <row r="4" spans="7:10" ht="10.5" hidden="1" customHeight="1" x14ac:dyDescent="0.3"/>
    <row r="5" spans="7:10" ht="10.5" hidden="1" customHeight="1" x14ac:dyDescent="0.3"/>
    <row r="6" spans="7:10" ht="10.5" hidden="1" customHeight="1" x14ac:dyDescent="0.3"/>
    <row r="7" spans="7:10" ht="10.5" hidden="1" customHeight="1" x14ac:dyDescent="0.3"/>
    <row r="8" spans="7:10" ht="10.5" hidden="1" customHeight="1" x14ac:dyDescent="0.3"/>
    <row r="9" spans="7:10" ht="10.5" customHeight="1" x14ac:dyDescent="0.3"/>
    <row r="10" spans="7:10" ht="35.25" customHeight="1" x14ac:dyDescent="0.3">
      <c r="G10" s="318" t="s">
        <v>2111</v>
      </c>
      <c r="H10" s="318"/>
      <c r="I10" s="318"/>
    </row>
    <row r="11" spans="7:10" ht="5.25" customHeight="1" x14ac:dyDescent="0.3"/>
    <row r="12" spans="7:10" ht="24.75" customHeight="1" x14ac:dyDescent="0.3">
      <c r="G12" s="49" t="s">
        <v>2112</v>
      </c>
      <c r="H12" s="48" t="s">
        <v>2113</v>
      </c>
      <c r="I12" s="48" t="str">
        <f>IF(FIRST_PERIOD_IN_FACT="","Не определено",FIRST_PERIOD_IN_FACT)&amp;" год Факт"</f>
        <v>2022 год Факт</v>
      </c>
      <c r="J12" s="209" t="str">
        <f>IF(FIRST_PERIOD_IN_FACT="","Не определено",FIRST_PERIOD_IN_FACT)&amp;" год Факт"</f>
        <v>2022 год Факт</v>
      </c>
    </row>
    <row r="13" spans="7:10" ht="1.5" customHeight="1" x14ac:dyDescent="0.3"/>
    <row r="14" spans="7:10" ht="25.5" customHeight="1" x14ac:dyDescent="0.3">
      <c r="G14" s="49" t="s">
        <v>45</v>
      </c>
      <c r="H14" s="210" t="s">
        <v>2114</v>
      </c>
      <c r="I14" s="72">
        <f>'ф.8.3 Индикатив'!I15</f>
        <v>293</v>
      </c>
      <c r="J14" s="72">
        <f>'ф.8.3 Индикатив'!J15</f>
        <v>293</v>
      </c>
    </row>
    <row r="15" spans="7:10" ht="23.25" customHeight="1" x14ac:dyDescent="0.3">
      <c r="G15" s="49" t="s">
        <v>2035</v>
      </c>
      <c r="H15" s="210" t="s">
        <v>2115</v>
      </c>
      <c r="I15" s="211">
        <f>IF(I14=0,0,SUMPRODUCT('ф.8.1 Журнал учета'!$O$17:$O$57,'ф.8.1 Журнал учета'!$S$17:$S$57,--ISNUMBER(SEARCH("В",'ф.8.1 Журнал учета'!$N$17:$N$57)),--ISNUMBER(SEARCH(1,'ф.8.1 Журнал учета'!$AG$17:$AG$57)))/I14)</f>
        <v>4.6394982935153584</v>
      </c>
      <c r="J15" s="211">
        <f>IF(J14=0,0,SUMPRODUCT('ф.8.1 Журнал учета'!$AZ$17:$AZ$57,'ф.8.1 Журнал учета'!$BA$17:$BA$57,--ISNUMBER(SEARCH("В",'ф.8.1 Журнал учета'!$AY$17:$AY$57)),--ISNUMBER(SEARCH(1,'ф.8.1 Журнал учета'!$BJ$17:$BJ$57)))/J14)</f>
        <v>4.6394982935153584</v>
      </c>
    </row>
    <row r="16" spans="7:10" ht="27" customHeight="1" x14ac:dyDescent="0.3">
      <c r="G16" s="49" t="s">
        <v>165</v>
      </c>
      <c r="H16" s="210" t="s">
        <v>2116</v>
      </c>
      <c r="I16" s="211">
        <f>IF(I14=0,0,SUMIFS('ф.8.1 Журнал учета'!$S$17:$S$57,'ф.8.1 Журнал учета'!$N$17:$N$57,"В",'ф.8.1 Журнал учета'!$AG$17:$AG$57,"=1")/I14)</f>
        <v>0.75426621160409557</v>
      </c>
      <c r="J16" s="211">
        <f>IF(J14=0,0,SUMIFS('ф.8.1 Журнал учета'!$BA$17:$BA$57,'ф.8.1 Журнал учета'!$AY$17:$AY$57,"В",'ф.8.1 Журнал учета'!$BJ$17:$BJ$57,"=1")/J14)</f>
        <v>0.75426621160409557</v>
      </c>
    </row>
    <row r="17" spans="7:11" ht="11.25" customHeight="1" x14ac:dyDescent="0.3">
      <c r="G17" s="298"/>
      <c r="H17" s="298"/>
      <c r="I17" s="76"/>
    </row>
    <row r="18" spans="7:11" ht="45" customHeight="1" x14ac:dyDescent="0.2">
      <c r="G18" s="186"/>
      <c r="H18" s="78" t="str">
        <f>IF(LEN(ruk_dol)=0,"",ruk_dol)</f>
        <v>Исполнительный директор</v>
      </c>
      <c r="I18" s="299" t="str">
        <f>IF(LEN(ruk_FIO)=0,"",ruk_FIO)</f>
        <v>Иванов Илья Николаевич</v>
      </c>
      <c r="J18" s="299"/>
    </row>
    <row r="19" spans="7:11" ht="20.25" customHeight="1" x14ac:dyDescent="0.3">
      <c r="G19" s="89"/>
      <c r="H19" s="80" t="s">
        <v>1980</v>
      </c>
      <c r="I19" s="319" t="s">
        <v>2057</v>
      </c>
      <c r="J19" s="276"/>
      <c r="K19" s="79" t="s">
        <v>2058</v>
      </c>
    </row>
    <row r="20" spans="7:11" ht="11.25" customHeight="1" x14ac:dyDescent="0.3">
      <c r="G20" s="186"/>
      <c r="H20" s="185"/>
      <c r="I20" s="185"/>
    </row>
    <row r="21" spans="7:11" ht="11.25" customHeight="1" x14ac:dyDescent="0.3">
      <c r="G21" s="298"/>
      <c r="H21" s="298"/>
      <c r="I21" s="76"/>
    </row>
  </sheetData>
  <sheetProtection formatColumns="0" formatRows="0" insertRows="0" deleteColumns="0" deleteRows="0" sort="0" autoFilter="0"/>
  <mergeCells count="5">
    <mergeCell ref="G17:H17"/>
    <mergeCell ref="G21:H21"/>
    <mergeCell ref="G10:I10"/>
    <mergeCell ref="I19:J19"/>
    <mergeCell ref="I18:J18"/>
  </mergeCells>
  <dataValidations count="2">
    <dataValidation type="whole" allowBlank="1" showErrorMessage="1" errorTitle="Ошибка" error="Допускается ввод только неотрицательных целых чисел!" sqref="I14:J14" xr:uid="{00000000-0002-0000-0C00-000000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5:J16" xr:uid="{00000000-0002-0000-0C00-000001000000}">
      <formula1>0</formula1>
      <formula2>9.99999999999999E+23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CC31-9687-8ED5-9D6B-EF5BA70404D9}">
  <sheetPr>
    <tabColor theme="3" tint="0.79998168889431442"/>
  </sheetPr>
  <dimension ref="A1:BO57"/>
  <sheetViews>
    <sheetView showGridLines="0" topLeftCell="F9" workbookViewId="0">
      <selection activeCell="N52" sqref="N52"/>
    </sheetView>
  </sheetViews>
  <sheetFormatPr defaultColWidth="9.109375" defaultRowHeight="11.25" customHeight="1" x14ac:dyDescent="0.3"/>
  <cols>
    <col min="1" max="5" width="21.109375" hidden="1" customWidth="1"/>
    <col min="6" max="6" width="3.88671875" customWidth="1"/>
    <col min="7" max="7" width="5.88671875" customWidth="1"/>
    <col min="8" max="8" width="36.88671875" customWidth="1"/>
    <col min="9" max="9" width="9.5546875" customWidth="1"/>
    <col min="10" max="10" width="27.6640625" customWidth="1"/>
    <col min="11" max="11" width="16.5546875" customWidth="1"/>
    <col min="12" max="13" width="15.6640625" customWidth="1"/>
    <col min="14" max="14" width="14" customWidth="1"/>
    <col min="15" max="15" width="17.6640625" customWidth="1"/>
    <col min="16" max="16" width="21.44140625" customWidth="1"/>
    <col min="17" max="17" width="18.5546875" customWidth="1"/>
    <col min="18" max="18" width="18.44140625" customWidth="1"/>
    <col min="19" max="19" width="9.88671875" customWidth="1"/>
    <col min="20" max="22" width="10.88671875" customWidth="1"/>
    <col min="23" max="23" width="15.44140625" customWidth="1"/>
    <col min="24" max="24" width="12" customWidth="1"/>
    <col min="25" max="25" width="13.44140625" customWidth="1"/>
    <col min="26" max="26" width="14.44140625" customWidth="1"/>
    <col min="27" max="27" width="16.109375" customWidth="1"/>
    <col min="28" max="28" width="22.88671875" customWidth="1"/>
    <col min="29" max="29" width="21.109375" customWidth="1"/>
    <col min="30" max="32" width="15.6640625" customWidth="1"/>
    <col min="33" max="33" width="18.6640625" customWidth="1"/>
    <col min="34" max="34" width="20.44140625" hidden="1" customWidth="1"/>
    <col min="35" max="35" width="15.6640625" hidden="1" customWidth="1"/>
    <col min="36" max="47" width="9.109375" hidden="1"/>
    <col min="48" max="48" width="11.88671875" hidden="1" customWidth="1"/>
    <col min="49" max="49" width="15.6640625" hidden="1" customWidth="1"/>
    <col min="50" max="50" width="18.5546875" hidden="1" customWidth="1"/>
    <col min="51" max="51" width="14" hidden="1" customWidth="1"/>
    <col min="52" max="52" width="17.6640625" hidden="1" customWidth="1"/>
    <col min="53" max="53" width="9.88671875" hidden="1" customWidth="1"/>
    <col min="54" max="56" width="10.88671875" hidden="1" customWidth="1"/>
    <col min="57" max="57" width="15.44140625" hidden="1" customWidth="1"/>
    <col min="58" max="58" width="12" hidden="1" customWidth="1"/>
    <col min="59" max="59" width="13.44140625" hidden="1" customWidth="1"/>
    <col min="60" max="60" width="14.44140625" hidden="1" customWidth="1"/>
    <col min="61" max="61" width="16.109375" hidden="1" customWidth="1"/>
    <col min="62" max="62" width="18.6640625" hidden="1" customWidth="1"/>
    <col min="63" max="63" width="15.6640625" hidden="1" customWidth="1"/>
    <col min="64" max="64" width="2.109375" hidden="1" customWidth="1"/>
    <col min="65" max="65" width="4" hidden="1" customWidth="1"/>
    <col min="66" max="66" width="2.109375" hidden="1" customWidth="1"/>
    <col min="67" max="67" width="1.88671875" hidden="1" customWidth="1"/>
  </cols>
  <sheetData>
    <row r="1" spans="7:67" ht="15" hidden="1" customHeight="1" x14ac:dyDescent="0.2">
      <c r="AG1" s="40" t="s">
        <v>2117</v>
      </c>
      <c r="AW1" s="41" t="b">
        <f t="shared" ref="AW1:BJ1" si="0">REPORT_OWNER="Версия регулятора"</f>
        <v>0</v>
      </c>
      <c r="AX1" s="41" t="b">
        <f t="shared" si="0"/>
        <v>0</v>
      </c>
      <c r="AY1" s="41" t="b">
        <f t="shared" si="0"/>
        <v>0</v>
      </c>
      <c r="AZ1" s="41" t="b">
        <f t="shared" si="0"/>
        <v>0</v>
      </c>
      <c r="BA1" s="41" t="b">
        <f t="shared" si="0"/>
        <v>0</v>
      </c>
      <c r="BB1" s="41" t="b">
        <f t="shared" si="0"/>
        <v>0</v>
      </c>
      <c r="BC1" s="41" t="b">
        <f t="shared" si="0"/>
        <v>0</v>
      </c>
      <c r="BD1" s="41" t="b">
        <f t="shared" si="0"/>
        <v>0</v>
      </c>
      <c r="BE1" s="41" t="b">
        <f t="shared" si="0"/>
        <v>0</v>
      </c>
      <c r="BF1" s="41" t="b">
        <f t="shared" si="0"/>
        <v>0</v>
      </c>
      <c r="BG1" s="41" t="b">
        <f t="shared" si="0"/>
        <v>0</v>
      </c>
      <c r="BH1" s="41" t="b">
        <f t="shared" si="0"/>
        <v>0</v>
      </c>
      <c r="BI1" s="41" t="b">
        <f t="shared" si="0"/>
        <v>0</v>
      </c>
      <c r="BJ1" s="41" t="b">
        <f t="shared" si="0"/>
        <v>0</v>
      </c>
      <c r="BK1" s="42" t="b">
        <f>AND(region_name="Красноярский край",REPORT_OWNER="Версия регулятора")</f>
        <v>0</v>
      </c>
      <c r="BL1" s="41" t="b">
        <f>REPORT_OWNER="Версия регулятора"</f>
        <v>0</v>
      </c>
      <c r="BM1" s="41" t="b">
        <f>REPORT_OWNER="Версия регулятора"</f>
        <v>0</v>
      </c>
      <c r="BN1" s="41" t="b">
        <f>REPORT_OWNER="Версия регулятора"</f>
        <v>0</v>
      </c>
      <c r="BO1" s="41" t="b">
        <f>REPORT_OWNER="Версия регулятора"</f>
        <v>0</v>
      </c>
    </row>
    <row r="2" spans="7:67" ht="15" hidden="1" customHeight="1" x14ac:dyDescent="0.3">
      <c r="AG2" s="40" t="s">
        <v>2118</v>
      </c>
      <c r="AH2" s="43" t="b">
        <f>region_name="Волгоградская область"</f>
        <v>0</v>
      </c>
      <c r="AI2" s="44" t="b">
        <f>region_name="Красноярский край"</f>
        <v>0</v>
      </c>
    </row>
    <row r="3" spans="7:67" ht="15" hidden="1" customHeight="1" x14ac:dyDescent="0.3"/>
    <row r="4" spans="7:67" ht="15" hidden="1" customHeight="1" x14ac:dyDescent="0.3"/>
    <row r="5" spans="7:67" ht="15" hidden="1" customHeight="1" x14ac:dyDescent="0.3"/>
    <row r="6" spans="7:67" ht="15" hidden="1" customHeight="1" x14ac:dyDescent="0.3"/>
    <row r="7" spans="7:67" ht="15" hidden="1" customHeight="1" x14ac:dyDescent="0.3">
      <c r="G7" s="276"/>
      <c r="H7" s="276"/>
      <c r="O7" s="276"/>
      <c r="P7" s="276"/>
      <c r="Q7" s="276"/>
      <c r="R7" s="276"/>
    </row>
    <row r="8" spans="7:67" ht="15" hidden="1" customHeight="1" x14ac:dyDescent="0.3"/>
    <row r="9" spans="7:67" ht="15" customHeight="1" x14ac:dyDescent="0.2">
      <c r="G9" s="45" t="s">
        <v>2119</v>
      </c>
    </row>
    <row r="10" spans="7:67" ht="20.25" customHeight="1" x14ac:dyDescent="0.3">
      <c r="G10" s="320" t="str">
        <f>"Журнал учета данных первичной информации по всем прекращениям передачи электрической энергии, произошедших на объектах сетевой организации "&amp;FIRST_PERIOD_IN_FACT&amp;" год"</f>
        <v>Журнал учета данных первичной информации по всем прекращениям передачи электрической энергии, произошедших на объектах сетевой организации 2022 год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46"/>
      <c r="AI10" s="47"/>
    </row>
    <row r="11" spans="7:67" ht="5.25" customHeight="1" x14ac:dyDescent="0.3"/>
    <row r="12" spans="7:67" ht="25.5" customHeight="1" x14ac:dyDescent="0.3">
      <c r="G12" s="317" t="s">
        <v>2120</v>
      </c>
      <c r="H12" s="321"/>
      <c r="I12" s="321"/>
      <c r="J12" s="321"/>
      <c r="K12" s="321"/>
      <c r="L12" s="321"/>
      <c r="M12" s="321"/>
      <c r="N12" s="321"/>
      <c r="O12" s="321"/>
      <c r="P12" s="317" t="s">
        <v>2121</v>
      </c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 t="s">
        <v>2122</v>
      </c>
      <c r="AD12" s="317" t="s">
        <v>2123</v>
      </c>
      <c r="AE12" s="317"/>
      <c r="AF12" s="317"/>
      <c r="AG12" s="303" t="s">
        <v>2124</v>
      </c>
      <c r="AH12" s="303" t="s">
        <v>2125</v>
      </c>
      <c r="AI12" s="330" t="s">
        <v>2126</v>
      </c>
      <c r="AW12" s="328" t="s">
        <v>2127</v>
      </c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9"/>
      <c r="BK12" s="51"/>
    </row>
    <row r="13" spans="7:67" ht="30" customHeight="1" x14ac:dyDescent="0.3">
      <c r="G13" s="317" t="s">
        <v>2112</v>
      </c>
      <c r="H13" s="317" t="s">
        <v>2128</v>
      </c>
      <c r="I13" s="317" t="s">
        <v>2129</v>
      </c>
      <c r="J13" s="317" t="s">
        <v>2130</v>
      </c>
      <c r="K13" s="317" t="s">
        <v>2131</v>
      </c>
      <c r="L13" s="317" t="s">
        <v>2132</v>
      </c>
      <c r="M13" s="317" t="s">
        <v>2133</v>
      </c>
      <c r="N13" s="317" t="s">
        <v>2134</v>
      </c>
      <c r="O13" s="317" t="s">
        <v>2135</v>
      </c>
      <c r="P13" s="317" t="s">
        <v>2136</v>
      </c>
      <c r="Q13" s="317" t="s">
        <v>2137</v>
      </c>
      <c r="R13" s="317" t="s">
        <v>2138</v>
      </c>
      <c r="S13" s="303" t="s">
        <v>2139</v>
      </c>
      <c r="T13" s="303"/>
      <c r="U13" s="303"/>
      <c r="V13" s="303"/>
      <c r="W13" s="303"/>
      <c r="X13" s="303"/>
      <c r="Y13" s="303"/>
      <c r="Z13" s="303"/>
      <c r="AA13" s="303"/>
      <c r="AB13" s="303" t="s">
        <v>2140</v>
      </c>
      <c r="AC13" s="317"/>
      <c r="AD13" s="303" t="s">
        <v>2141</v>
      </c>
      <c r="AE13" s="303" t="s">
        <v>0</v>
      </c>
      <c r="AF13" s="303" t="s">
        <v>2142</v>
      </c>
      <c r="AG13" s="303"/>
      <c r="AH13" s="303"/>
      <c r="AI13" s="330"/>
      <c r="AW13" s="317" t="s">
        <v>2132</v>
      </c>
      <c r="AX13" s="317" t="s">
        <v>2133</v>
      </c>
      <c r="AY13" s="317" t="s">
        <v>2134</v>
      </c>
      <c r="AZ13" s="317" t="s">
        <v>2135</v>
      </c>
      <c r="BA13" s="303" t="s">
        <v>2139</v>
      </c>
      <c r="BB13" s="303"/>
      <c r="BC13" s="303"/>
      <c r="BD13" s="303"/>
      <c r="BE13" s="303"/>
      <c r="BF13" s="303"/>
      <c r="BG13" s="303"/>
      <c r="BH13" s="303"/>
      <c r="BI13" s="303"/>
      <c r="BJ13" s="304" t="s">
        <v>2124</v>
      </c>
      <c r="BK13" s="330" t="s">
        <v>2143</v>
      </c>
    </row>
    <row r="14" spans="7:67" ht="48.75" customHeight="1" x14ac:dyDescent="0.3">
      <c r="G14" s="317"/>
      <c r="H14" s="317" t="s">
        <v>2035</v>
      </c>
      <c r="I14" s="317" t="s">
        <v>165</v>
      </c>
      <c r="J14" s="317" t="s">
        <v>167</v>
      </c>
      <c r="K14" s="317">
        <v>5</v>
      </c>
      <c r="L14" s="317">
        <v>6</v>
      </c>
      <c r="M14" s="317"/>
      <c r="N14" s="317">
        <v>8</v>
      </c>
      <c r="O14" s="317">
        <v>9</v>
      </c>
      <c r="P14" s="317">
        <v>10</v>
      </c>
      <c r="Q14" s="317" t="s">
        <v>2144</v>
      </c>
      <c r="R14" s="317" t="s">
        <v>2145</v>
      </c>
      <c r="S14" s="303" t="s">
        <v>2146</v>
      </c>
      <c r="T14" s="317" t="s">
        <v>2147</v>
      </c>
      <c r="U14" s="317"/>
      <c r="V14" s="317"/>
      <c r="W14" s="317" t="s">
        <v>2148</v>
      </c>
      <c r="X14" s="317"/>
      <c r="Y14" s="317"/>
      <c r="Z14" s="317"/>
      <c r="AA14" s="303" t="s">
        <v>2149</v>
      </c>
      <c r="AB14" s="303"/>
      <c r="AC14" s="317"/>
      <c r="AD14" s="303"/>
      <c r="AE14" s="303"/>
      <c r="AF14" s="303"/>
      <c r="AG14" s="303"/>
      <c r="AH14" s="303"/>
      <c r="AI14" s="330"/>
      <c r="AW14" s="317">
        <v>6</v>
      </c>
      <c r="AX14" s="317"/>
      <c r="AY14" s="317">
        <v>8</v>
      </c>
      <c r="AZ14" s="317">
        <v>9</v>
      </c>
      <c r="BA14" s="303" t="s">
        <v>2146</v>
      </c>
      <c r="BB14" s="317" t="s">
        <v>2147</v>
      </c>
      <c r="BC14" s="317"/>
      <c r="BD14" s="317"/>
      <c r="BE14" s="317" t="s">
        <v>2148</v>
      </c>
      <c r="BF14" s="317"/>
      <c r="BG14" s="317"/>
      <c r="BH14" s="317"/>
      <c r="BI14" s="303" t="s">
        <v>2149</v>
      </c>
      <c r="BJ14" s="327"/>
      <c r="BK14" s="330">
        <v>8</v>
      </c>
    </row>
    <row r="15" spans="7:67" ht="60" customHeight="1" x14ac:dyDescent="0.3"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03"/>
      <c r="T15" s="48" t="s">
        <v>2150</v>
      </c>
      <c r="U15" s="48" t="s">
        <v>2151</v>
      </c>
      <c r="V15" s="48" t="s">
        <v>2152</v>
      </c>
      <c r="W15" s="48" t="s">
        <v>2153</v>
      </c>
      <c r="X15" s="48" t="s">
        <v>2154</v>
      </c>
      <c r="Y15" s="48" t="s">
        <v>2155</v>
      </c>
      <c r="Z15" s="48" t="s">
        <v>2156</v>
      </c>
      <c r="AA15" s="303"/>
      <c r="AB15" s="303"/>
      <c r="AC15" s="317"/>
      <c r="AD15" s="303"/>
      <c r="AE15" s="303"/>
      <c r="AF15" s="303"/>
      <c r="AG15" s="303"/>
      <c r="AH15" s="303"/>
      <c r="AI15" s="330"/>
      <c r="AW15" s="317"/>
      <c r="AX15" s="317"/>
      <c r="AY15" s="317"/>
      <c r="AZ15" s="317"/>
      <c r="BA15" s="303"/>
      <c r="BB15" s="48" t="s">
        <v>2150</v>
      </c>
      <c r="BC15" s="48" t="s">
        <v>2151</v>
      </c>
      <c r="BD15" s="48" t="s">
        <v>2152</v>
      </c>
      <c r="BE15" s="48" t="s">
        <v>2153</v>
      </c>
      <c r="BF15" s="48" t="s">
        <v>2154</v>
      </c>
      <c r="BG15" s="48" t="s">
        <v>2155</v>
      </c>
      <c r="BH15" s="48" t="s">
        <v>2156</v>
      </c>
      <c r="BI15" s="303"/>
      <c r="BJ15" s="316"/>
      <c r="BK15" s="330"/>
    </row>
    <row r="16" spans="7:67" ht="15" customHeight="1" x14ac:dyDescent="0.3">
      <c r="G16" s="53">
        <v>1</v>
      </c>
      <c r="H16" s="53">
        <v>2</v>
      </c>
      <c r="I16" s="53">
        <v>3</v>
      </c>
      <c r="J16" s="53">
        <v>4</v>
      </c>
      <c r="K16" s="53">
        <v>5</v>
      </c>
      <c r="L16" s="53">
        <v>6</v>
      </c>
      <c r="M16" s="53">
        <v>7</v>
      </c>
      <c r="N16" s="53">
        <v>8</v>
      </c>
      <c r="O16" s="53">
        <v>9</v>
      </c>
      <c r="P16" s="53">
        <v>10</v>
      </c>
      <c r="Q16" s="53">
        <v>11</v>
      </c>
      <c r="R16" s="53">
        <v>12</v>
      </c>
      <c r="S16" s="53">
        <v>13</v>
      </c>
      <c r="T16" s="53">
        <v>14</v>
      </c>
      <c r="U16" s="53">
        <v>15</v>
      </c>
      <c r="V16" s="53">
        <v>16</v>
      </c>
      <c r="W16" s="53">
        <v>17</v>
      </c>
      <c r="X16" s="53">
        <v>18</v>
      </c>
      <c r="Y16" s="53">
        <v>19</v>
      </c>
      <c r="Z16" s="53">
        <v>20</v>
      </c>
      <c r="AA16" s="53">
        <v>21</v>
      </c>
      <c r="AB16" s="53">
        <v>22</v>
      </c>
      <c r="AC16" s="53">
        <v>23</v>
      </c>
      <c r="AD16" s="53">
        <v>24</v>
      </c>
      <c r="AE16" s="53">
        <v>25</v>
      </c>
      <c r="AF16" s="53">
        <v>26</v>
      </c>
      <c r="AG16" s="53">
        <v>27</v>
      </c>
      <c r="AH16" s="53">
        <v>28</v>
      </c>
      <c r="AI16" s="54" t="s">
        <v>2157</v>
      </c>
      <c r="AW16" s="55">
        <v>6</v>
      </c>
      <c r="AX16" s="55">
        <v>7</v>
      </c>
      <c r="AY16" s="55">
        <v>8</v>
      </c>
      <c r="AZ16" s="55">
        <v>9</v>
      </c>
      <c r="BA16" s="55">
        <v>13</v>
      </c>
      <c r="BB16" s="55">
        <v>14</v>
      </c>
      <c r="BC16" s="55">
        <v>15</v>
      </c>
      <c r="BD16" s="55">
        <v>16</v>
      </c>
      <c r="BE16" s="55">
        <v>17</v>
      </c>
      <c r="BF16" s="55">
        <v>18</v>
      </c>
      <c r="BG16" s="55">
        <v>19</v>
      </c>
      <c r="BH16" s="55">
        <v>20</v>
      </c>
      <c r="BI16" s="55">
        <v>21</v>
      </c>
      <c r="BJ16" s="55">
        <v>27</v>
      </c>
      <c r="BK16" s="56" t="s">
        <v>2157</v>
      </c>
    </row>
    <row r="17" spans="6:67" ht="15" hidden="1" customHeight="1" x14ac:dyDescent="0.2">
      <c r="G17" s="57" t="s">
        <v>2158</v>
      </c>
      <c r="H17" s="52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7"/>
      <c r="U17" s="57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P17" s="61">
        <f t="shared" ref="AP17:AP44" si="1">IF(AND(N17="В",AG17="1"),SUMPRODUCT(S17,O17),0)</f>
        <v>0</v>
      </c>
      <c r="AQ17" s="61">
        <f t="shared" ref="AQ17:AQ44" si="2">IF(AND(N17="В",AG17="1"),S17,0)</f>
        <v>0</v>
      </c>
      <c r="AW17" s="57"/>
      <c r="AX17" s="57"/>
      <c r="AY17" s="57"/>
      <c r="AZ17" s="57"/>
      <c r="BA17" s="58"/>
      <c r="BB17" s="57"/>
      <c r="BC17" s="57"/>
      <c r="BD17" s="62"/>
      <c r="BE17" s="62"/>
      <c r="BF17" s="62"/>
      <c r="BG17" s="62"/>
      <c r="BH17" s="59"/>
      <c r="BI17" s="62"/>
      <c r="BJ17" s="59"/>
      <c r="BK17" s="63"/>
      <c r="BL17">
        <f t="shared" ref="BL17:BL44" si="3">IF(AND(AY17="В",BJ17="1"),SUMPRODUCT(AZ17,BA17),0)</f>
        <v>0</v>
      </c>
      <c r="BM17">
        <f t="shared" ref="BM17:BM44" si="4">IF(AND(AY17="В",BJ17="1"),BA17,0)</f>
        <v>0</v>
      </c>
    </row>
    <row r="18" spans="6:67" s="253" customFormat="1" ht="15" customHeight="1" x14ac:dyDescent="0.2">
      <c r="F18" s="254" t="s">
        <v>223</v>
      </c>
      <c r="G18" s="255" t="s">
        <v>225</v>
      </c>
      <c r="H18" s="256" t="s">
        <v>1770</v>
      </c>
      <c r="I18" s="257" t="s">
        <v>29</v>
      </c>
      <c r="J18" s="256" t="s">
        <v>2159</v>
      </c>
      <c r="K18" s="258" t="s">
        <v>2160</v>
      </c>
      <c r="L18" s="259" t="s">
        <v>2161</v>
      </c>
      <c r="M18" s="259" t="s">
        <v>2162</v>
      </c>
      <c r="N18" s="260" t="s">
        <v>56</v>
      </c>
      <c r="O18" s="261">
        <v>3</v>
      </c>
      <c r="P18" s="256" t="s">
        <v>2163</v>
      </c>
      <c r="Q18" s="256"/>
      <c r="R18" s="256"/>
      <c r="S18" s="262">
        <f t="shared" ref="S18:S43" si="5">T18+U18+V18+AA18</f>
        <v>20</v>
      </c>
      <c r="T18" s="263">
        <v>0</v>
      </c>
      <c r="U18" s="263">
        <v>0</v>
      </c>
      <c r="V18" s="263">
        <v>20</v>
      </c>
      <c r="W18" s="263">
        <v>0</v>
      </c>
      <c r="X18" s="263">
        <v>0</v>
      </c>
      <c r="Y18" s="263">
        <v>0</v>
      </c>
      <c r="Z18" s="262">
        <f t="shared" ref="Z18:Z43" si="6">S18-W18-X18-Y18-AA18</f>
        <v>20</v>
      </c>
      <c r="AA18" s="263">
        <v>0</v>
      </c>
      <c r="AB18" s="264">
        <v>0</v>
      </c>
      <c r="AC18" s="256"/>
      <c r="AD18" s="265" t="s">
        <v>2164</v>
      </c>
      <c r="AE18" s="265" t="s">
        <v>122</v>
      </c>
      <c r="AF18" s="265" t="s">
        <v>2165</v>
      </c>
      <c r="AG18" s="266" t="s">
        <v>31</v>
      </c>
      <c r="AH18" s="265"/>
      <c r="AI18" s="265"/>
      <c r="AP18" s="267">
        <f t="shared" si="1"/>
        <v>0</v>
      </c>
      <c r="AQ18" s="267">
        <f t="shared" si="2"/>
        <v>0</v>
      </c>
      <c r="AR18" s="267">
        <f t="shared" ref="AR18:AR43" si="7">IF(N18="П",SUMPRODUCT(S18,O18),0)</f>
        <v>0</v>
      </c>
      <c r="AS18" s="267">
        <f t="shared" ref="AS18:AS43" si="8">IF(N18="П",S18,0)</f>
        <v>0</v>
      </c>
      <c r="AW18" s="268" t="str">
        <f t="shared" ref="AW18:AW43" si="9">L18</f>
        <v>08, 30, 2022.01.14</v>
      </c>
      <c r="AX18" s="268" t="str">
        <f t="shared" ref="AX18:AX43" si="10">M18</f>
        <v>11, 30, 2022.01.14</v>
      </c>
      <c r="AY18" s="269" t="str">
        <f t="shared" ref="AY18:AY43" si="11">N18</f>
        <v>В</v>
      </c>
      <c r="AZ18" s="270">
        <f t="shared" ref="AZ18:AZ43" si="12">O18</f>
        <v>3</v>
      </c>
      <c r="BA18" s="262">
        <f t="shared" ref="BA18:BA43" si="13">BB18+BC18+BD18+BI18</f>
        <v>20</v>
      </c>
      <c r="BB18" s="271">
        <f t="shared" ref="BB18:BB43" si="14">T18</f>
        <v>0</v>
      </c>
      <c r="BC18" s="271">
        <f t="shared" ref="BC18:BC43" si="15">U18</f>
        <v>0</v>
      </c>
      <c r="BD18" s="271">
        <f t="shared" ref="BD18:BD43" si="16">V18</f>
        <v>20</v>
      </c>
      <c r="BE18" s="271">
        <f t="shared" ref="BE18:BE43" si="17">W18</f>
        <v>0</v>
      </c>
      <c r="BF18" s="271">
        <f t="shared" ref="BF18:BF43" si="18">X18</f>
        <v>0</v>
      </c>
      <c r="BG18" s="271">
        <f t="shared" ref="BG18:BG43" si="19">Y18</f>
        <v>0</v>
      </c>
      <c r="BH18" s="262">
        <f t="shared" ref="BH18:BH43" si="20">BA18-BE18-BF18-BG18-BI18</f>
        <v>20</v>
      </c>
      <c r="BI18" s="271">
        <f t="shared" ref="BI18:BI43" si="21">AA18</f>
        <v>0</v>
      </c>
      <c r="BJ18" s="272" t="str">
        <f t="shared" ref="BJ18:BJ43" si="22">AG18</f>
        <v>0</v>
      </c>
      <c r="BK18" s="269"/>
      <c r="BL18" s="267">
        <f t="shared" si="3"/>
        <v>0</v>
      </c>
      <c r="BM18" s="267">
        <f t="shared" si="4"/>
        <v>0</v>
      </c>
      <c r="BN18" s="267">
        <f t="shared" ref="BN18:BN43" si="23">IF(AY18="П",SUMPRODUCT(AZ18,BA18),0)</f>
        <v>0</v>
      </c>
      <c r="BO18" s="267">
        <f t="shared" ref="BO18:BO43" si="24">IF(AY18="П",BA18,0)</f>
        <v>0</v>
      </c>
    </row>
    <row r="19" spans="6:67" s="253" customFormat="1" ht="15" customHeight="1" x14ac:dyDescent="0.2">
      <c r="F19" s="254" t="s">
        <v>223</v>
      </c>
      <c r="G19" s="255" t="s">
        <v>2024</v>
      </c>
      <c r="H19" s="256" t="s">
        <v>1770</v>
      </c>
      <c r="I19" s="257" t="s">
        <v>29</v>
      </c>
      <c r="J19" s="256" t="s">
        <v>2166</v>
      </c>
      <c r="K19" s="258" t="s">
        <v>2160</v>
      </c>
      <c r="L19" s="259" t="s">
        <v>2167</v>
      </c>
      <c r="M19" s="259" t="s">
        <v>2168</v>
      </c>
      <c r="N19" s="260" t="s">
        <v>56</v>
      </c>
      <c r="O19" s="261">
        <v>3.0329999999999999</v>
      </c>
      <c r="P19" s="256" t="s">
        <v>65</v>
      </c>
      <c r="Q19" s="256"/>
      <c r="R19" s="256"/>
      <c r="S19" s="262">
        <f t="shared" si="5"/>
        <v>4</v>
      </c>
      <c r="T19" s="263">
        <v>0</v>
      </c>
      <c r="U19" s="263">
        <v>0</v>
      </c>
      <c r="V19" s="263">
        <v>4</v>
      </c>
      <c r="W19" s="263">
        <v>0</v>
      </c>
      <c r="X19" s="263">
        <v>0</v>
      </c>
      <c r="Y19" s="263">
        <v>0</v>
      </c>
      <c r="Z19" s="262">
        <f t="shared" si="6"/>
        <v>4</v>
      </c>
      <c r="AA19" s="263">
        <v>0</v>
      </c>
      <c r="AB19" s="264">
        <v>0</v>
      </c>
      <c r="AC19" s="256" t="s">
        <v>2169</v>
      </c>
      <c r="AD19" s="265" t="s">
        <v>2170</v>
      </c>
      <c r="AE19" s="265" t="s">
        <v>147</v>
      </c>
      <c r="AF19" s="265" t="s">
        <v>2171</v>
      </c>
      <c r="AG19" s="266" t="s">
        <v>45</v>
      </c>
      <c r="AH19" s="265"/>
      <c r="AI19" s="265"/>
      <c r="AP19" s="267">
        <f t="shared" si="1"/>
        <v>12.132</v>
      </c>
      <c r="AQ19" s="267">
        <f t="shared" si="2"/>
        <v>4</v>
      </c>
      <c r="AR19" s="267">
        <f t="shared" si="7"/>
        <v>0</v>
      </c>
      <c r="AS19" s="267">
        <f t="shared" si="8"/>
        <v>0</v>
      </c>
      <c r="AW19" s="268" t="str">
        <f t="shared" si="9"/>
        <v>01, 25, 2022.02.10</v>
      </c>
      <c r="AX19" s="268" t="str">
        <f t="shared" si="10"/>
        <v>04, 27, 2022.02.10</v>
      </c>
      <c r="AY19" s="269" t="str">
        <f t="shared" si="11"/>
        <v>В</v>
      </c>
      <c r="AZ19" s="270">
        <f t="shared" si="12"/>
        <v>3.0329999999999999</v>
      </c>
      <c r="BA19" s="262">
        <f t="shared" si="13"/>
        <v>4</v>
      </c>
      <c r="BB19" s="271">
        <f t="shared" si="14"/>
        <v>0</v>
      </c>
      <c r="BC19" s="271">
        <f t="shared" si="15"/>
        <v>0</v>
      </c>
      <c r="BD19" s="271">
        <f t="shared" si="16"/>
        <v>4</v>
      </c>
      <c r="BE19" s="271">
        <f t="shared" si="17"/>
        <v>0</v>
      </c>
      <c r="BF19" s="271">
        <f t="shared" si="18"/>
        <v>0</v>
      </c>
      <c r="BG19" s="271">
        <f t="shared" si="19"/>
        <v>0</v>
      </c>
      <c r="BH19" s="262">
        <f t="shared" si="20"/>
        <v>4</v>
      </c>
      <c r="BI19" s="271">
        <f t="shared" si="21"/>
        <v>0</v>
      </c>
      <c r="BJ19" s="272" t="str">
        <f t="shared" si="22"/>
        <v>1</v>
      </c>
      <c r="BK19" s="269"/>
      <c r="BL19" s="267">
        <f t="shared" si="3"/>
        <v>12.132</v>
      </c>
      <c r="BM19" s="267">
        <f t="shared" si="4"/>
        <v>4</v>
      </c>
      <c r="BN19" s="267">
        <f t="shared" si="23"/>
        <v>0</v>
      </c>
      <c r="BO19" s="267">
        <f t="shared" si="24"/>
        <v>0</v>
      </c>
    </row>
    <row r="20" spans="6:67" s="253" customFormat="1" ht="15" customHeight="1" x14ac:dyDescent="0.2">
      <c r="F20" s="254" t="s">
        <v>223</v>
      </c>
      <c r="G20" s="255" t="s">
        <v>2069</v>
      </c>
      <c r="H20" s="256" t="s">
        <v>1770</v>
      </c>
      <c r="I20" s="257" t="s">
        <v>43</v>
      </c>
      <c r="J20" s="256" t="s">
        <v>2172</v>
      </c>
      <c r="K20" s="258" t="s">
        <v>2173</v>
      </c>
      <c r="L20" s="259" t="s">
        <v>2174</v>
      </c>
      <c r="M20" s="259" t="s">
        <v>2175</v>
      </c>
      <c r="N20" s="260" t="s">
        <v>56</v>
      </c>
      <c r="O20" s="261">
        <v>0.5</v>
      </c>
      <c r="P20" s="256" t="s">
        <v>43</v>
      </c>
      <c r="Q20" s="256"/>
      <c r="R20" s="256"/>
      <c r="S20" s="262">
        <f t="shared" si="5"/>
        <v>1</v>
      </c>
      <c r="T20" s="263">
        <v>0</v>
      </c>
      <c r="U20" s="263">
        <v>0</v>
      </c>
      <c r="V20" s="263">
        <v>1</v>
      </c>
      <c r="W20" s="263">
        <v>0</v>
      </c>
      <c r="X20" s="263">
        <v>0</v>
      </c>
      <c r="Y20" s="263">
        <v>0</v>
      </c>
      <c r="Z20" s="262">
        <f t="shared" si="6"/>
        <v>1</v>
      </c>
      <c r="AA20" s="263">
        <v>0</v>
      </c>
      <c r="AB20" s="264">
        <v>0</v>
      </c>
      <c r="AC20" s="256" t="s">
        <v>2169</v>
      </c>
      <c r="AD20" s="265" t="s">
        <v>2176</v>
      </c>
      <c r="AE20" s="265" t="s">
        <v>128</v>
      </c>
      <c r="AF20" s="265" t="s">
        <v>2177</v>
      </c>
      <c r="AG20" s="266" t="s">
        <v>31</v>
      </c>
      <c r="AH20" s="265"/>
      <c r="AI20" s="265"/>
      <c r="AP20" s="267">
        <f t="shared" si="1"/>
        <v>0</v>
      </c>
      <c r="AQ20" s="267">
        <f t="shared" si="2"/>
        <v>0</v>
      </c>
      <c r="AR20" s="267">
        <f t="shared" si="7"/>
        <v>0</v>
      </c>
      <c r="AS20" s="267">
        <f t="shared" si="8"/>
        <v>0</v>
      </c>
      <c r="AW20" s="268" t="str">
        <f t="shared" si="9"/>
        <v>13, 42, 2022.03.10</v>
      </c>
      <c r="AX20" s="268" t="str">
        <f t="shared" si="10"/>
        <v>14, 12, 2022.03.10</v>
      </c>
      <c r="AY20" s="269" t="str">
        <f t="shared" si="11"/>
        <v>В</v>
      </c>
      <c r="AZ20" s="270">
        <f t="shared" si="12"/>
        <v>0.5</v>
      </c>
      <c r="BA20" s="262">
        <f t="shared" si="13"/>
        <v>1</v>
      </c>
      <c r="BB20" s="271">
        <f t="shared" si="14"/>
        <v>0</v>
      </c>
      <c r="BC20" s="271">
        <f t="shared" si="15"/>
        <v>0</v>
      </c>
      <c r="BD20" s="271">
        <f t="shared" si="16"/>
        <v>1</v>
      </c>
      <c r="BE20" s="271">
        <f t="shared" si="17"/>
        <v>0</v>
      </c>
      <c r="BF20" s="271">
        <f t="shared" si="18"/>
        <v>0</v>
      </c>
      <c r="BG20" s="271">
        <f t="shared" si="19"/>
        <v>0</v>
      </c>
      <c r="BH20" s="262">
        <f t="shared" si="20"/>
        <v>1</v>
      </c>
      <c r="BI20" s="271">
        <f t="shared" si="21"/>
        <v>0</v>
      </c>
      <c r="BJ20" s="272" t="str">
        <f t="shared" si="22"/>
        <v>0</v>
      </c>
      <c r="BK20" s="269"/>
      <c r="BL20" s="267">
        <f t="shared" si="3"/>
        <v>0</v>
      </c>
      <c r="BM20" s="267">
        <f t="shared" si="4"/>
        <v>0</v>
      </c>
      <c r="BN20" s="267">
        <f t="shared" si="23"/>
        <v>0</v>
      </c>
      <c r="BO20" s="267">
        <f t="shared" si="24"/>
        <v>0</v>
      </c>
    </row>
    <row r="21" spans="6:67" s="253" customFormat="1" ht="15" customHeight="1" x14ac:dyDescent="0.2">
      <c r="F21" s="254" t="s">
        <v>223</v>
      </c>
      <c r="G21" s="255" t="s">
        <v>2178</v>
      </c>
      <c r="H21" s="256" t="s">
        <v>1770</v>
      </c>
      <c r="I21" s="257" t="s">
        <v>29</v>
      </c>
      <c r="J21" s="256" t="s">
        <v>2179</v>
      </c>
      <c r="K21" s="258" t="s">
        <v>2160</v>
      </c>
      <c r="L21" s="259" t="s">
        <v>2180</v>
      </c>
      <c r="M21" s="259" t="s">
        <v>2181</v>
      </c>
      <c r="N21" s="260" t="s">
        <v>56</v>
      </c>
      <c r="O21" s="261">
        <v>4.75</v>
      </c>
      <c r="P21" s="256" t="s">
        <v>72</v>
      </c>
      <c r="Q21" s="256"/>
      <c r="R21" s="256"/>
      <c r="S21" s="262">
        <f t="shared" si="5"/>
        <v>2</v>
      </c>
      <c r="T21" s="263">
        <v>0</v>
      </c>
      <c r="U21" s="263">
        <v>2</v>
      </c>
      <c r="V21" s="263">
        <v>0</v>
      </c>
      <c r="W21" s="263">
        <v>0</v>
      </c>
      <c r="X21" s="263">
        <v>0</v>
      </c>
      <c r="Y21" s="263">
        <v>0</v>
      </c>
      <c r="Z21" s="262">
        <f t="shared" si="6"/>
        <v>2</v>
      </c>
      <c r="AA21" s="263">
        <v>0</v>
      </c>
      <c r="AB21" s="264">
        <v>0</v>
      </c>
      <c r="AC21" s="256" t="s">
        <v>2169</v>
      </c>
      <c r="AD21" s="265" t="s">
        <v>2182</v>
      </c>
      <c r="AE21" s="265" t="s">
        <v>19</v>
      </c>
      <c r="AF21" s="265" t="s">
        <v>2183</v>
      </c>
      <c r="AG21" s="266" t="s">
        <v>45</v>
      </c>
      <c r="AH21" s="265"/>
      <c r="AI21" s="265"/>
      <c r="AP21" s="267">
        <f t="shared" si="1"/>
        <v>9.5</v>
      </c>
      <c r="AQ21" s="267">
        <f t="shared" si="2"/>
        <v>2</v>
      </c>
      <c r="AR21" s="267">
        <f t="shared" si="7"/>
        <v>0</v>
      </c>
      <c r="AS21" s="267">
        <f t="shared" si="8"/>
        <v>0</v>
      </c>
      <c r="AW21" s="268" t="str">
        <f t="shared" si="9"/>
        <v>07, 30, 2022.03.24</v>
      </c>
      <c r="AX21" s="268" t="str">
        <f t="shared" si="10"/>
        <v>12, 15, 2022.03.24</v>
      </c>
      <c r="AY21" s="269" t="str">
        <f t="shared" si="11"/>
        <v>В</v>
      </c>
      <c r="AZ21" s="270">
        <f t="shared" si="12"/>
        <v>4.75</v>
      </c>
      <c r="BA21" s="262">
        <f t="shared" si="13"/>
        <v>2</v>
      </c>
      <c r="BB21" s="271">
        <f t="shared" si="14"/>
        <v>0</v>
      </c>
      <c r="BC21" s="271">
        <f t="shared" si="15"/>
        <v>2</v>
      </c>
      <c r="BD21" s="271">
        <f t="shared" si="16"/>
        <v>0</v>
      </c>
      <c r="BE21" s="271">
        <f t="shared" si="17"/>
        <v>0</v>
      </c>
      <c r="BF21" s="271">
        <f t="shared" si="18"/>
        <v>0</v>
      </c>
      <c r="BG21" s="271">
        <f t="shared" si="19"/>
        <v>0</v>
      </c>
      <c r="BH21" s="262">
        <f t="shared" si="20"/>
        <v>2</v>
      </c>
      <c r="BI21" s="271">
        <f t="shared" si="21"/>
        <v>0</v>
      </c>
      <c r="BJ21" s="272" t="str">
        <f t="shared" si="22"/>
        <v>1</v>
      </c>
      <c r="BK21" s="269"/>
      <c r="BL21" s="267">
        <f t="shared" si="3"/>
        <v>9.5</v>
      </c>
      <c r="BM21" s="267">
        <f t="shared" si="4"/>
        <v>2</v>
      </c>
      <c r="BN21" s="267">
        <f t="shared" si="23"/>
        <v>0</v>
      </c>
      <c r="BO21" s="267">
        <f t="shared" si="24"/>
        <v>0</v>
      </c>
    </row>
    <row r="22" spans="6:67" s="253" customFormat="1" ht="15" customHeight="1" x14ac:dyDescent="0.2">
      <c r="F22" s="254" t="s">
        <v>223</v>
      </c>
      <c r="G22" s="255" t="s">
        <v>2184</v>
      </c>
      <c r="H22" s="256" t="s">
        <v>1770</v>
      </c>
      <c r="I22" s="257" t="s">
        <v>29</v>
      </c>
      <c r="J22" s="256" t="s">
        <v>2185</v>
      </c>
      <c r="K22" s="258" t="s">
        <v>2160</v>
      </c>
      <c r="L22" s="259" t="s">
        <v>2186</v>
      </c>
      <c r="M22" s="259" t="s">
        <v>2187</v>
      </c>
      <c r="N22" s="260" t="s">
        <v>56</v>
      </c>
      <c r="O22" s="261">
        <v>1.917</v>
      </c>
      <c r="P22" s="256" t="s">
        <v>72</v>
      </c>
      <c r="Q22" s="256"/>
      <c r="R22" s="256"/>
      <c r="S22" s="262">
        <f t="shared" si="5"/>
        <v>2</v>
      </c>
      <c r="T22" s="263">
        <v>0</v>
      </c>
      <c r="U22" s="263">
        <v>2</v>
      </c>
      <c r="V22" s="263">
        <v>0</v>
      </c>
      <c r="W22" s="263">
        <v>0</v>
      </c>
      <c r="X22" s="263">
        <v>0</v>
      </c>
      <c r="Y22" s="263">
        <v>0</v>
      </c>
      <c r="Z22" s="262">
        <f t="shared" si="6"/>
        <v>2</v>
      </c>
      <c r="AA22" s="263">
        <v>0</v>
      </c>
      <c r="AB22" s="264">
        <v>0</v>
      </c>
      <c r="AC22" s="256" t="s">
        <v>2169</v>
      </c>
      <c r="AD22" s="265" t="s">
        <v>2188</v>
      </c>
      <c r="AE22" s="265" t="s">
        <v>147</v>
      </c>
      <c r="AF22" s="265" t="s">
        <v>2171</v>
      </c>
      <c r="AG22" s="266" t="s">
        <v>45</v>
      </c>
      <c r="AH22" s="265"/>
      <c r="AI22" s="265"/>
      <c r="AP22" s="267">
        <f t="shared" si="1"/>
        <v>3.8340000000000001</v>
      </c>
      <c r="AQ22" s="267">
        <f t="shared" si="2"/>
        <v>2</v>
      </c>
      <c r="AR22" s="267">
        <f t="shared" si="7"/>
        <v>0</v>
      </c>
      <c r="AS22" s="267">
        <f t="shared" si="8"/>
        <v>0</v>
      </c>
      <c r="AW22" s="268" t="str">
        <f t="shared" si="9"/>
        <v>14, 15, 2022.04.01</v>
      </c>
      <c r="AX22" s="268" t="str">
        <f t="shared" si="10"/>
        <v>16, 10, 2022.04.01</v>
      </c>
      <c r="AY22" s="269" t="str">
        <f t="shared" si="11"/>
        <v>В</v>
      </c>
      <c r="AZ22" s="270">
        <f t="shared" si="12"/>
        <v>1.917</v>
      </c>
      <c r="BA22" s="262">
        <f t="shared" si="13"/>
        <v>2</v>
      </c>
      <c r="BB22" s="271">
        <f t="shared" si="14"/>
        <v>0</v>
      </c>
      <c r="BC22" s="271">
        <f t="shared" si="15"/>
        <v>2</v>
      </c>
      <c r="BD22" s="271">
        <f t="shared" si="16"/>
        <v>0</v>
      </c>
      <c r="BE22" s="271">
        <f t="shared" si="17"/>
        <v>0</v>
      </c>
      <c r="BF22" s="271">
        <f t="shared" si="18"/>
        <v>0</v>
      </c>
      <c r="BG22" s="271">
        <f t="shared" si="19"/>
        <v>0</v>
      </c>
      <c r="BH22" s="262">
        <f t="shared" si="20"/>
        <v>2</v>
      </c>
      <c r="BI22" s="271">
        <f t="shared" si="21"/>
        <v>0</v>
      </c>
      <c r="BJ22" s="272" t="str">
        <f t="shared" si="22"/>
        <v>1</v>
      </c>
      <c r="BK22" s="269"/>
      <c r="BL22" s="267">
        <f t="shared" si="3"/>
        <v>3.8340000000000001</v>
      </c>
      <c r="BM22" s="267">
        <f t="shared" si="4"/>
        <v>2</v>
      </c>
      <c r="BN22" s="267">
        <f t="shared" si="23"/>
        <v>0</v>
      </c>
      <c r="BO22" s="267">
        <f t="shared" si="24"/>
        <v>0</v>
      </c>
    </row>
    <row r="23" spans="6:67" s="253" customFormat="1" ht="15" customHeight="1" x14ac:dyDescent="0.2">
      <c r="F23" s="254" t="s">
        <v>223</v>
      </c>
      <c r="G23" s="255" t="s">
        <v>2189</v>
      </c>
      <c r="H23" s="256" t="s">
        <v>1770</v>
      </c>
      <c r="I23" s="257" t="s">
        <v>29</v>
      </c>
      <c r="J23" s="256" t="s">
        <v>2190</v>
      </c>
      <c r="K23" s="258" t="s">
        <v>2173</v>
      </c>
      <c r="L23" s="259" t="s">
        <v>2191</v>
      </c>
      <c r="M23" s="259" t="s">
        <v>2192</v>
      </c>
      <c r="N23" s="260" t="s">
        <v>30</v>
      </c>
      <c r="O23" s="261">
        <v>1</v>
      </c>
      <c r="P23" s="256" t="s">
        <v>29</v>
      </c>
      <c r="Q23" s="256"/>
      <c r="R23" s="256"/>
      <c r="S23" s="262">
        <f t="shared" si="5"/>
        <v>1</v>
      </c>
      <c r="T23" s="263">
        <v>0</v>
      </c>
      <c r="U23" s="263">
        <v>0</v>
      </c>
      <c r="V23" s="263">
        <v>1</v>
      </c>
      <c r="W23" s="263">
        <v>0</v>
      </c>
      <c r="X23" s="263">
        <v>0</v>
      </c>
      <c r="Y23" s="263">
        <v>0</v>
      </c>
      <c r="Z23" s="262">
        <f t="shared" si="6"/>
        <v>1</v>
      </c>
      <c r="AA23" s="263">
        <v>0</v>
      </c>
      <c r="AB23" s="264">
        <v>0</v>
      </c>
      <c r="AC23" s="256" t="s">
        <v>2169</v>
      </c>
      <c r="AD23" s="265" t="s">
        <v>2169</v>
      </c>
      <c r="AE23" s="265" t="s">
        <v>2169</v>
      </c>
      <c r="AF23" s="265" t="s">
        <v>2169</v>
      </c>
      <c r="AG23" s="266" t="s">
        <v>45</v>
      </c>
      <c r="AH23" s="265"/>
      <c r="AI23" s="265"/>
      <c r="AP23" s="267">
        <f t="shared" si="1"/>
        <v>0</v>
      </c>
      <c r="AQ23" s="267">
        <f t="shared" si="2"/>
        <v>0</v>
      </c>
      <c r="AR23" s="267">
        <f t="shared" si="7"/>
        <v>1</v>
      </c>
      <c r="AS23" s="267">
        <f t="shared" si="8"/>
        <v>1</v>
      </c>
      <c r="AW23" s="268" t="str">
        <f t="shared" si="9"/>
        <v>15, 00, 2022.04.11</v>
      </c>
      <c r="AX23" s="268" t="str">
        <f t="shared" si="10"/>
        <v>16, 00, 2022.04.11</v>
      </c>
      <c r="AY23" s="269" t="str">
        <f t="shared" si="11"/>
        <v>П</v>
      </c>
      <c r="AZ23" s="270">
        <f t="shared" si="12"/>
        <v>1</v>
      </c>
      <c r="BA23" s="262">
        <f t="shared" si="13"/>
        <v>1</v>
      </c>
      <c r="BB23" s="271">
        <f t="shared" si="14"/>
        <v>0</v>
      </c>
      <c r="BC23" s="271">
        <f t="shared" si="15"/>
        <v>0</v>
      </c>
      <c r="BD23" s="271">
        <f t="shared" si="16"/>
        <v>1</v>
      </c>
      <c r="BE23" s="271">
        <f t="shared" si="17"/>
        <v>0</v>
      </c>
      <c r="BF23" s="271">
        <f t="shared" si="18"/>
        <v>0</v>
      </c>
      <c r="BG23" s="271">
        <f t="shared" si="19"/>
        <v>0</v>
      </c>
      <c r="BH23" s="262">
        <f t="shared" si="20"/>
        <v>1</v>
      </c>
      <c r="BI23" s="271">
        <f t="shared" si="21"/>
        <v>0</v>
      </c>
      <c r="BJ23" s="272" t="str">
        <f t="shared" si="22"/>
        <v>1</v>
      </c>
      <c r="BK23" s="269"/>
      <c r="BL23" s="267">
        <f t="shared" si="3"/>
        <v>0</v>
      </c>
      <c r="BM23" s="267">
        <f t="shared" si="4"/>
        <v>0</v>
      </c>
      <c r="BN23" s="267">
        <f t="shared" si="23"/>
        <v>1</v>
      </c>
      <c r="BO23" s="267">
        <f t="shared" si="24"/>
        <v>1</v>
      </c>
    </row>
    <row r="24" spans="6:67" s="253" customFormat="1" ht="15" customHeight="1" x14ac:dyDescent="0.2">
      <c r="F24" s="254" t="s">
        <v>223</v>
      </c>
      <c r="G24" s="255" t="s">
        <v>2193</v>
      </c>
      <c r="H24" s="256" t="s">
        <v>1770</v>
      </c>
      <c r="I24" s="257" t="s">
        <v>29</v>
      </c>
      <c r="J24" s="256" t="s">
        <v>2194</v>
      </c>
      <c r="K24" s="258" t="s">
        <v>2160</v>
      </c>
      <c r="L24" s="259" t="s">
        <v>2195</v>
      </c>
      <c r="M24" s="259" t="s">
        <v>2196</v>
      </c>
      <c r="N24" s="260" t="s">
        <v>56</v>
      </c>
      <c r="O24" s="261">
        <v>3.97</v>
      </c>
      <c r="P24" s="256" t="s">
        <v>65</v>
      </c>
      <c r="Q24" s="256"/>
      <c r="R24" s="256"/>
      <c r="S24" s="262">
        <f t="shared" si="5"/>
        <v>48</v>
      </c>
      <c r="T24" s="263">
        <v>0</v>
      </c>
      <c r="U24" s="263">
        <v>0</v>
      </c>
      <c r="V24" s="263">
        <v>48</v>
      </c>
      <c r="W24" s="263">
        <v>0</v>
      </c>
      <c r="X24" s="263">
        <v>0</v>
      </c>
      <c r="Y24" s="263">
        <v>0</v>
      </c>
      <c r="Z24" s="262">
        <f t="shared" si="6"/>
        <v>48</v>
      </c>
      <c r="AA24" s="263">
        <v>0</v>
      </c>
      <c r="AB24" s="264">
        <v>0</v>
      </c>
      <c r="AC24" s="256" t="s">
        <v>2169</v>
      </c>
      <c r="AD24" s="265" t="s">
        <v>2197</v>
      </c>
      <c r="AE24" s="265" t="s">
        <v>149</v>
      </c>
      <c r="AF24" s="265" t="s">
        <v>2171</v>
      </c>
      <c r="AG24" s="266" t="s">
        <v>45</v>
      </c>
      <c r="AH24" s="265"/>
      <c r="AI24" s="265"/>
      <c r="AP24" s="267">
        <f t="shared" si="1"/>
        <v>190.56</v>
      </c>
      <c r="AQ24" s="267">
        <f t="shared" si="2"/>
        <v>48</v>
      </c>
      <c r="AR24" s="267">
        <f t="shared" si="7"/>
        <v>0</v>
      </c>
      <c r="AS24" s="267">
        <f t="shared" si="8"/>
        <v>0</v>
      </c>
      <c r="AW24" s="268" t="str">
        <f t="shared" si="9"/>
        <v>12, 03, 2022.05.11</v>
      </c>
      <c r="AX24" s="268" t="str">
        <f t="shared" si="10"/>
        <v>16, 01, 2022.05.11</v>
      </c>
      <c r="AY24" s="269" t="str">
        <f t="shared" si="11"/>
        <v>В</v>
      </c>
      <c r="AZ24" s="270">
        <f t="shared" si="12"/>
        <v>3.97</v>
      </c>
      <c r="BA24" s="262">
        <f t="shared" si="13"/>
        <v>48</v>
      </c>
      <c r="BB24" s="271">
        <f t="shared" si="14"/>
        <v>0</v>
      </c>
      <c r="BC24" s="271">
        <f t="shared" si="15"/>
        <v>0</v>
      </c>
      <c r="BD24" s="271">
        <f t="shared" si="16"/>
        <v>48</v>
      </c>
      <c r="BE24" s="271">
        <f t="shared" si="17"/>
        <v>0</v>
      </c>
      <c r="BF24" s="271">
        <f t="shared" si="18"/>
        <v>0</v>
      </c>
      <c r="BG24" s="271">
        <f t="shared" si="19"/>
        <v>0</v>
      </c>
      <c r="BH24" s="262">
        <f t="shared" si="20"/>
        <v>48</v>
      </c>
      <c r="BI24" s="271">
        <f t="shared" si="21"/>
        <v>0</v>
      </c>
      <c r="BJ24" s="272" t="str">
        <f t="shared" si="22"/>
        <v>1</v>
      </c>
      <c r="BK24" s="269"/>
      <c r="BL24" s="267">
        <f t="shared" si="3"/>
        <v>190.56</v>
      </c>
      <c r="BM24" s="267">
        <f t="shared" si="4"/>
        <v>48</v>
      </c>
      <c r="BN24" s="267">
        <f t="shared" si="23"/>
        <v>0</v>
      </c>
      <c r="BO24" s="267">
        <f t="shared" si="24"/>
        <v>0</v>
      </c>
    </row>
    <row r="25" spans="6:67" s="253" customFormat="1" ht="15" customHeight="1" x14ac:dyDescent="0.2">
      <c r="F25" s="254" t="s">
        <v>223</v>
      </c>
      <c r="G25" s="255" t="s">
        <v>2198</v>
      </c>
      <c r="H25" s="256" t="s">
        <v>1770</v>
      </c>
      <c r="I25" s="257" t="s">
        <v>55</v>
      </c>
      <c r="J25" s="256" t="s">
        <v>2199</v>
      </c>
      <c r="K25" s="258" t="s">
        <v>2200</v>
      </c>
      <c r="L25" s="259" t="s">
        <v>2201</v>
      </c>
      <c r="M25" s="259" t="s">
        <v>2202</v>
      </c>
      <c r="N25" s="260" t="s">
        <v>56</v>
      </c>
      <c r="O25" s="261">
        <v>7.48</v>
      </c>
      <c r="P25" s="256" t="s">
        <v>55</v>
      </c>
      <c r="Q25" s="256"/>
      <c r="R25" s="256"/>
      <c r="S25" s="262">
        <f t="shared" si="5"/>
        <v>1</v>
      </c>
      <c r="T25" s="263">
        <v>0</v>
      </c>
      <c r="U25" s="263">
        <v>0</v>
      </c>
      <c r="V25" s="263">
        <v>1</v>
      </c>
      <c r="W25" s="263">
        <v>0</v>
      </c>
      <c r="X25" s="263">
        <v>0</v>
      </c>
      <c r="Y25" s="263">
        <v>1</v>
      </c>
      <c r="Z25" s="262">
        <f t="shared" si="6"/>
        <v>0</v>
      </c>
      <c r="AA25" s="263">
        <v>0</v>
      </c>
      <c r="AB25" s="264">
        <v>0</v>
      </c>
      <c r="AC25" s="256" t="s">
        <v>2169</v>
      </c>
      <c r="AD25" s="265" t="s">
        <v>2203</v>
      </c>
      <c r="AE25" s="265" t="s">
        <v>128</v>
      </c>
      <c r="AF25" s="265" t="s">
        <v>2204</v>
      </c>
      <c r="AG25" s="266" t="s">
        <v>31</v>
      </c>
      <c r="AH25" s="265"/>
      <c r="AI25" s="265"/>
      <c r="AP25" s="267">
        <f t="shared" si="1"/>
        <v>0</v>
      </c>
      <c r="AQ25" s="267">
        <f t="shared" si="2"/>
        <v>0</v>
      </c>
      <c r="AR25" s="267">
        <f t="shared" si="7"/>
        <v>0</v>
      </c>
      <c r="AS25" s="267">
        <f t="shared" si="8"/>
        <v>0</v>
      </c>
      <c r="AW25" s="268" t="str">
        <f t="shared" si="9"/>
        <v>07, 30, 2022.06.08</v>
      </c>
      <c r="AX25" s="268" t="str">
        <f t="shared" si="10"/>
        <v>14, 59, 2022.06.08</v>
      </c>
      <c r="AY25" s="269" t="str">
        <f t="shared" si="11"/>
        <v>В</v>
      </c>
      <c r="AZ25" s="270">
        <f t="shared" si="12"/>
        <v>7.48</v>
      </c>
      <c r="BA25" s="262">
        <f t="shared" si="13"/>
        <v>1</v>
      </c>
      <c r="BB25" s="271">
        <f t="shared" si="14"/>
        <v>0</v>
      </c>
      <c r="BC25" s="271">
        <f t="shared" si="15"/>
        <v>0</v>
      </c>
      <c r="BD25" s="271">
        <f t="shared" si="16"/>
        <v>1</v>
      </c>
      <c r="BE25" s="271">
        <f t="shared" si="17"/>
        <v>0</v>
      </c>
      <c r="BF25" s="271">
        <f t="shared" si="18"/>
        <v>0</v>
      </c>
      <c r="BG25" s="271">
        <f t="shared" si="19"/>
        <v>1</v>
      </c>
      <c r="BH25" s="262">
        <f t="shared" si="20"/>
        <v>0</v>
      </c>
      <c r="BI25" s="271">
        <f t="shared" si="21"/>
        <v>0</v>
      </c>
      <c r="BJ25" s="272" t="str">
        <f t="shared" si="22"/>
        <v>0</v>
      </c>
      <c r="BK25" s="269"/>
      <c r="BL25" s="267">
        <f t="shared" si="3"/>
        <v>0</v>
      </c>
      <c r="BM25" s="267">
        <f t="shared" si="4"/>
        <v>0</v>
      </c>
      <c r="BN25" s="267">
        <f t="shared" si="23"/>
        <v>0</v>
      </c>
      <c r="BO25" s="267">
        <f t="shared" si="24"/>
        <v>0</v>
      </c>
    </row>
    <row r="26" spans="6:67" s="253" customFormat="1" ht="15" customHeight="1" x14ac:dyDescent="0.2">
      <c r="F26" s="254" t="s">
        <v>223</v>
      </c>
      <c r="G26" s="255" t="s">
        <v>2205</v>
      </c>
      <c r="H26" s="256" t="s">
        <v>1770</v>
      </c>
      <c r="I26" s="257" t="s">
        <v>29</v>
      </c>
      <c r="J26" s="256" t="s">
        <v>2206</v>
      </c>
      <c r="K26" s="258" t="s">
        <v>2160</v>
      </c>
      <c r="L26" s="259" t="s">
        <v>2207</v>
      </c>
      <c r="M26" s="259" t="s">
        <v>2208</v>
      </c>
      <c r="N26" s="260" t="s">
        <v>56</v>
      </c>
      <c r="O26" s="261">
        <v>11.866</v>
      </c>
      <c r="P26" s="256" t="s">
        <v>65</v>
      </c>
      <c r="Q26" s="256"/>
      <c r="R26" s="256"/>
      <c r="S26" s="262">
        <f t="shared" si="5"/>
        <v>60</v>
      </c>
      <c r="T26" s="263">
        <v>0</v>
      </c>
      <c r="U26" s="263">
        <v>0</v>
      </c>
      <c r="V26" s="263">
        <v>49</v>
      </c>
      <c r="W26" s="263">
        <v>0</v>
      </c>
      <c r="X26" s="263">
        <v>0</v>
      </c>
      <c r="Y26" s="263">
        <v>0</v>
      </c>
      <c r="Z26" s="262">
        <f t="shared" si="6"/>
        <v>49</v>
      </c>
      <c r="AA26" s="263">
        <v>11</v>
      </c>
      <c r="AB26" s="264">
        <v>0</v>
      </c>
      <c r="AC26" s="256" t="s">
        <v>2169</v>
      </c>
      <c r="AD26" s="265" t="s">
        <v>2209</v>
      </c>
      <c r="AE26" s="265" t="s">
        <v>160</v>
      </c>
      <c r="AF26" s="265" t="s">
        <v>2171</v>
      </c>
      <c r="AG26" s="266" t="s">
        <v>45</v>
      </c>
      <c r="AH26" s="265"/>
      <c r="AI26" s="265"/>
      <c r="AP26" s="267">
        <f t="shared" si="1"/>
        <v>711.96</v>
      </c>
      <c r="AQ26" s="267">
        <f t="shared" si="2"/>
        <v>60</v>
      </c>
      <c r="AR26" s="267">
        <f t="shared" si="7"/>
        <v>0</v>
      </c>
      <c r="AS26" s="267">
        <f t="shared" si="8"/>
        <v>0</v>
      </c>
      <c r="AW26" s="268" t="str">
        <f t="shared" si="9"/>
        <v>21, 01, 2022.06.16</v>
      </c>
      <c r="AX26" s="268" t="str">
        <f t="shared" si="10"/>
        <v>08, 53, 2022.06.17</v>
      </c>
      <c r="AY26" s="269" t="str">
        <f t="shared" si="11"/>
        <v>В</v>
      </c>
      <c r="AZ26" s="270">
        <f t="shared" si="12"/>
        <v>11.866</v>
      </c>
      <c r="BA26" s="262">
        <f t="shared" si="13"/>
        <v>60</v>
      </c>
      <c r="BB26" s="271">
        <f t="shared" si="14"/>
        <v>0</v>
      </c>
      <c r="BC26" s="271">
        <f t="shared" si="15"/>
        <v>0</v>
      </c>
      <c r="BD26" s="271">
        <f t="shared" si="16"/>
        <v>49</v>
      </c>
      <c r="BE26" s="271">
        <f t="shared" si="17"/>
        <v>0</v>
      </c>
      <c r="BF26" s="271">
        <f t="shared" si="18"/>
        <v>0</v>
      </c>
      <c r="BG26" s="271">
        <f t="shared" si="19"/>
        <v>0</v>
      </c>
      <c r="BH26" s="262">
        <f t="shared" si="20"/>
        <v>49</v>
      </c>
      <c r="BI26" s="271">
        <f t="shared" si="21"/>
        <v>11</v>
      </c>
      <c r="BJ26" s="272" t="str">
        <f t="shared" si="22"/>
        <v>1</v>
      </c>
      <c r="BK26" s="269"/>
      <c r="BL26" s="267">
        <f t="shared" si="3"/>
        <v>711.96</v>
      </c>
      <c r="BM26" s="267">
        <f t="shared" si="4"/>
        <v>60</v>
      </c>
      <c r="BN26" s="267">
        <f t="shared" si="23"/>
        <v>0</v>
      </c>
      <c r="BO26" s="267">
        <f t="shared" si="24"/>
        <v>0</v>
      </c>
    </row>
    <row r="27" spans="6:67" s="253" customFormat="1" ht="15" customHeight="1" x14ac:dyDescent="0.2">
      <c r="F27" s="254" t="s">
        <v>223</v>
      </c>
      <c r="G27" s="255" t="s">
        <v>2210</v>
      </c>
      <c r="H27" s="256" t="s">
        <v>1770</v>
      </c>
      <c r="I27" s="257" t="s">
        <v>72</v>
      </c>
      <c r="J27" s="256" t="s">
        <v>2211</v>
      </c>
      <c r="K27" s="258" t="s">
        <v>2200</v>
      </c>
      <c r="L27" s="259" t="s">
        <v>2212</v>
      </c>
      <c r="M27" s="259" t="s">
        <v>2213</v>
      </c>
      <c r="N27" s="260" t="s">
        <v>56</v>
      </c>
      <c r="O27" s="261">
        <v>36.165999999999997</v>
      </c>
      <c r="P27" s="256" t="s">
        <v>29</v>
      </c>
      <c r="Q27" s="256"/>
      <c r="R27" s="256"/>
      <c r="S27" s="262">
        <f t="shared" si="5"/>
        <v>1</v>
      </c>
      <c r="T27" s="263">
        <v>0</v>
      </c>
      <c r="U27" s="263">
        <v>0</v>
      </c>
      <c r="V27" s="263">
        <v>1</v>
      </c>
      <c r="W27" s="263">
        <v>0</v>
      </c>
      <c r="X27" s="263">
        <v>0</v>
      </c>
      <c r="Y27" s="263">
        <v>1</v>
      </c>
      <c r="Z27" s="262">
        <f t="shared" si="6"/>
        <v>0</v>
      </c>
      <c r="AA27" s="263">
        <v>0</v>
      </c>
      <c r="AB27" s="264">
        <v>0</v>
      </c>
      <c r="AC27" s="256" t="s">
        <v>2169</v>
      </c>
      <c r="AD27" s="265" t="s">
        <v>2214</v>
      </c>
      <c r="AE27" s="265" t="s">
        <v>128</v>
      </c>
      <c r="AF27" s="265" t="s">
        <v>2165</v>
      </c>
      <c r="AG27" s="266" t="s">
        <v>31</v>
      </c>
      <c r="AH27" s="265"/>
      <c r="AI27" s="265"/>
      <c r="AP27" s="267">
        <f t="shared" si="1"/>
        <v>0</v>
      </c>
      <c r="AQ27" s="267">
        <f t="shared" si="2"/>
        <v>0</v>
      </c>
      <c r="AR27" s="267">
        <f t="shared" si="7"/>
        <v>0</v>
      </c>
      <c r="AS27" s="267">
        <f t="shared" si="8"/>
        <v>0</v>
      </c>
      <c r="AW27" s="268" t="str">
        <f t="shared" si="9"/>
        <v>03, 00, 2022.06.17</v>
      </c>
      <c r="AX27" s="268" t="str">
        <f t="shared" si="10"/>
        <v>15, 10, 2022.06.18</v>
      </c>
      <c r="AY27" s="269" t="str">
        <f t="shared" si="11"/>
        <v>В</v>
      </c>
      <c r="AZ27" s="270">
        <f t="shared" si="12"/>
        <v>36.165999999999997</v>
      </c>
      <c r="BA27" s="262">
        <f t="shared" si="13"/>
        <v>1</v>
      </c>
      <c r="BB27" s="271">
        <f t="shared" si="14"/>
        <v>0</v>
      </c>
      <c r="BC27" s="271">
        <f t="shared" si="15"/>
        <v>0</v>
      </c>
      <c r="BD27" s="271">
        <f t="shared" si="16"/>
        <v>1</v>
      </c>
      <c r="BE27" s="271">
        <f t="shared" si="17"/>
        <v>0</v>
      </c>
      <c r="BF27" s="271">
        <f t="shared" si="18"/>
        <v>0</v>
      </c>
      <c r="BG27" s="271">
        <f t="shared" si="19"/>
        <v>1</v>
      </c>
      <c r="BH27" s="262">
        <f t="shared" si="20"/>
        <v>0</v>
      </c>
      <c r="BI27" s="271">
        <f t="shared" si="21"/>
        <v>0</v>
      </c>
      <c r="BJ27" s="272" t="str">
        <f t="shared" si="22"/>
        <v>0</v>
      </c>
      <c r="BK27" s="269"/>
      <c r="BL27" s="267">
        <f t="shared" si="3"/>
        <v>0</v>
      </c>
      <c r="BM27" s="267">
        <f t="shared" si="4"/>
        <v>0</v>
      </c>
      <c r="BN27" s="267">
        <f t="shared" si="23"/>
        <v>0</v>
      </c>
      <c r="BO27" s="267">
        <f t="shared" si="24"/>
        <v>0</v>
      </c>
    </row>
    <row r="28" spans="6:67" s="253" customFormat="1" ht="15" customHeight="1" x14ac:dyDescent="0.2">
      <c r="F28" s="254" t="s">
        <v>223</v>
      </c>
      <c r="G28" s="255" t="s">
        <v>2215</v>
      </c>
      <c r="H28" s="256" t="s">
        <v>1770</v>
      </c>
      <c r="I28" s="257" t="s">
        <v>29</v>
      </c>
      <c r="J28" s="256" t="s">
        <v>2159</v>
      </c>
      <c r="K28" s="258" t="s">
        <v>2160</v>
      </c>
      <c r="L28" s="259" t="s">
        <v>2216</v>
      </c>
      <c r="M28" s="259" t="s">
        <v>2217</v>
      </c>
      <c r="N28" s="260" t="s">
        <v>56</v>
      </c>
      <c r="O28" s="261">
        <v>1.833</v>
      </c>
      <c r="P28" s="256" t="s">
        <v>65</v>
      </c>
      <c r="Q28" s="256"/>
      <c r="R28" s="256"/>
      <c r="S28" s="262">
        <f t="shared" si="5"/>
        <v>22</v>
      </c>
      <c r="T28" s="263">
        <v>0</v>
      </c>
      <c r="U28" s="263">
        <v>0</v>
      </c>
      <c r="V28" s="263">
        <v>22</v>
      </c>
      <c r="W28" s="263">
        <v>0</v>
      </c>
      <c r="X28" s="263">
        <v>0</v>
      </c>
      <c r="Y28" s="263">
        <v>0</v>
      </c>
      <c r="Z28" s="262">
        <f t="shared" si="6"/>
        <v>22</v>
      </c>
      <c r="AA28" s="263">
        <v>0</v>
      </c>
      <c r="AB28" s="264">
        <v>0</v>
      </c>
      <c r="AC28" s="256" t="s">
        <v>2169</v>
      </c>
      <c r="AD28" s="265" t="s">
        <v>2218</v>
      </c>
      <c r="AE28" s="265" t="s">
        <v>122</v>
      </c>
      <c r="AF28" s="265" t="s">
        <v>2169</v>
      </c>
      <c r="AG28" s="266" t="s">
        <v>31</v>
      </c>
      <c r="AH28" s="265"/>
      <c r="AI28" s="265"/>
      <c r="AP28" s="267">
        <f t="shared" si="1"/>
        <v>0</v>
      </c>
      <c r="AQ28" s="267">
        <f t="shared" si="2"/>
        <v>0</v>
      </c>
      <c r="AR28" s="267">
        <f t="shared" si="7"/>
        <v>0</v>
      </c>
      <c r="AS28" s="267">
        <f t="shared" si="8"/>
        <v>0</v>
      </c>
      <c r="AW28" s="268" t="str">
        <f t="shared" si="9"/>
        <v>03, 00, 2022.07.13</v>
      </c>
      <c r="AX28" s="268" t="str">
        <f t="shared" si="10"/>
        <v>04, 50, 2022.07.13</v>
      </c>
      <c r="AY28" s="269" t="str">
        <f t="shared" si="11"/>
        <v>В</v>
      </c>
      <c r="AZ28" s="270">
        <f t="shared" si="12"/>
        <v>1.833</v>
      </c>
      <c r="BA28" s="262">
        <f t="shared" si="13"/>
        <v>22</v>
      </c>
      <c r="BB28" s="271">
        <f t="shared" si="14"/>
        <v>0</v>
      </c>
      <c r="BC28" s="271">
        <f t="shared" si="15"/>
        <v>0</v>
      </c>
      <c r="BD28" s="271">
        <f t="shared" si="16"/>
        <v>22</v>
      </c>
      <c r="BE28" s="271">
        <f t="shared" si="17"/>
        <v>0</v>
      </c>
      <c r="BF28" s="271">
        <f t="shared" si="18"/>
        <v>0</v>
      </c>
      <c r="BG28" s="271">
        <f t="shared" si="19"/>
        <v>0</v>
      </c>
      <c r="BH28" s="262">
        <f t="shared" si="20"/>
        <v>22</v>
      </c>
      <c r="BI28" s="271">
        <f t="shared" si="21"/>
        <v>0</v>
      </c>
      <c r="BJ28" s="272" t="str">
        <f t="shared" si="22"/>
        <v>0</v>
      </c>
      <c r="BK28" s="269"/>
      <c r="BL28" s="267">
        <f t="shared" si="3"/>
        <v>0</v>
      </c>
      <c r="BM28" s="267">
        <f t="shared" si="4"/>
        <v>0</v>
      </c>
      <c r="BN28" s="267">
        <f t="shared" si="23"/>
        <v>0</v>
      </c>
      <c r="BO28" s="267">
        <f t="shared" si="24"/>
        <v>0</v>
      </c>
    </row>
    <row r="29" spans="6:67" s="253" customFormat="1" ht="15" customHeight="1" x14ac:dyDescent="0.2">
      <c r="F29" s="254" t="s">
        <v>223</v>
      </c>
      <c r="G29" s="255" t="s">
        <v>2219</v>
      </c>
      <c r="H29" s="256" t="s">
        <v>1770</v>
      </c>
      <c r="I29" s="257" t="s">
        <v>29</v>
      </c>
      <c r="J29" s="256" t="s">
        <v>2220</v>
      </c>
      <c r="K29" s="258" t="s">
        <v>2200</v>
      </c>
      <c r="L29" s="259" t="s">
        <v>2221</v>
      </c>
      <c r="M29" s="259" t="s">
        <v>2222</v>
      </c>
      <c r="N29" s="260" t="s">
        <v>56</v>
      </c>
      <c r="O29" s="261">
        <v>145.97</v>
      </c>
      <c r="P29" s="256" t="s">
        <v>65</v>
      </c>
      <c r="Q29" s="256"/>
      <c r="R29" s="256"/>
      <c r="S29" s="262">
        <f t="shared" si="5"/>
        <v>1</v>
      </c>
      <c r="T29" s="263">
        <v>0</v>
      </c>
      <c r="U29" s="263">
        <v>0</v>
      </c>
      <c r="V29" s="263">
        <v>1</v>
      </c>
      <c r="W29" s="263">
        <v>0</v>
      </c>
      <c r="X29" s="263">
        <v>0</v>
      </c>
      <c r="Y29" s="263">
        <v>1</v>
      </c>
      <c r="Z29" s="262">
        <f t="shared" si="6"/>
        <v>0</v>
      </c>
      <c r="AA29" s="263">
        <v>0</v>
      </c>
      <c r="AB29" s="264">
        <v>0</v>
      </c>
      <c r="AC29" s="256" t="s">
        <v>2169</v>
      </c>
      <c r="AD29" s="265" t="s">
        <v>2223</v>
      </c>
      <c r="AE29" s="265" t="s">
        <v>128</v>
      </c>
      <c r="AF29" s="265" t="s">
        <v>2169</v>
      </c>
      <c r="AG29" s="266" t="s">
        <v>31</v>
      </c>
      <c r="AH29" s="265"/>
      <c r="AI29" s="265"/>
      <c r="AP29" s="267">
        <f t="shared" si="1"/>
        <v>0</v>
      </c>
      <c r="AQ29" s="267">
        <f t="shared" si="2"/>
        <v>0</v>
      </c>
      <c r="AR29" s="267">
        <f t="shared" si="7"/>
        <v>0</v>
      </c>
      <c r="AS29" s="267">
        <f t="shared" si="8"/>
        <v>0</v>
      </c>
      <c r="AW29" s="268" t="str">
        <f t="shared" si="9"/>
        <v>15, 32, 2022.07.28</v>
      </c>
      <c r="AX29" s="268" t="str">
        <f t="shared" si="10"/>
        <v>17, 30, 2022.08.03</v>
      </c>
      <c r="AY29" s="269" t="str">
        <f t="shared" si="11"/>
        <v>В</v>
      </c>
      <c r="AZ29" s="270">
        <f t="shared" si="12"/>
        <v>145.97</v>
      </c>
      <c r="BA29" s="262">
        <f t="shared" si="13"/>
        <v>1</v>
      </c>
      <c r="BB29" s="271">
        <f t="shared" si="14"/>
        <v>0</v>
      </c>
      <c r="BC29" s="271">
        <f t="shared" si="15"/>
        <v>0</v>
      </c>
      <c r="BD29" s="271">
        <f t="shared" si="16"/>
        <v>1</v>
      </c>
      <c r="BE29" s="271">
        <f t="shared" si="17"/>
        <v>0</v>
      </c>
      <c r="BF29" s="271">
        <f t="shared" si="18"/>
        <v>0</v>
      </c>
      <c r="BG29" s="271">
        <f t="shared" si="19"/>
        <v>1</v>
      </c>
      <c r="BH29" s="262">
        <f t="shared" si="20"/>
        <v>0</v>
      </c>
      <c r="BI29" s="271">
        <f t="shared" si="21"/>
        <v>0</v>
      </c>
      <c r="BJ29" s="272" t="str">
        <f t="shared" si="22"/>
        <v>0</v>
      </c>
      <c r="BK29" s="269"/>
      <c r="BL29" s="267">
        <f t="shared" si="3"/>
        <v>0</v>
      </c>
      <c r="BM29" s="267">
        <f t="shared" si="4"/>
        <v>0</v>
      </c>
      <c r="BN29" s="267">
        <f t="shared" si="23"/>
        <v>0</v>
      </c>
      <c r="BO29" s="267">
        <f t="shared" si="24"/>
        <v>0</v>
      </c>
    </row>
    <row r="30" spans="6:67" s="253" customFormat="1" ht="15" customHeight="1" x14ac:dyDescent="0.2">
      <c r="F30" s="254" t="s">
        <v>223</v>
      </c>
      <c r="G30" s="255" t="s">
        <v>2224</v>
      </c>
      <c r="H30" s="256" t="s">
        <v>1770</v>
      </c>
      <c r="I30" s="257" t="s">
        <v>29</v>
      </c>
      <c r="J30" s="256" t="s">
        <v>2225</v>
      </c>
      <c r="K30" s="258" t="s">
        <v>2200</v>
      </c>
      <c r="L30" s="259" t="s">
        <v>2226</v>
      </c>
      <c r="M30" s="259" t="s">
        <v>2227</v>
      </c>
      <c r="N30" s="260" t="s">
        <v>56</v>
      </c>
      <c r="O30" s="261">
        <v>22.23</v>
      </c>
      <c r="P30" s="256" t="s">
        <v>65</v>
      </c>
      <c r="Q30" s="256"/>
      <c r="R30" s="256"/>
      <c r="S30" s="262">
        <f t="shared" si="5"/>
        <v>11</v>
      </c>
      <c r="T30" s="263">
        <v>0</v>
      </c>
      <c r="U30" s="263">
        <v>0</v>
      </c>
      <c r="V30" s="263">
        <v>10</v>
      </c>
      <c r="W30" s="263">
        <v>0</v>
      </c>
      <c r="X30" s="263">
        <v>0</v>
      </c>
      <c r="Y30" s="263">
        <v>9</v>
      </c>
      <c r="Z30" s="262">
        <f t="shared" si="6"/>
        <v>1</v>
      </c>
      <c r="AA30" s="263">
        <v>1</v>
      </c>
      <c r="AB30" s="264">
        <v>0</v>
      </c>
      <c r="AC30" s="256" t="s">
        <v>2169</v>
      </c>
      <c r="AD30" s="265" t="s">
        <v>2223</v>
      </c>
      <c r="AE30" s="265" t="s">
        <v>147</v>
      </c>
      <c r="AF30" s="265" t="s">
        <v>2171</v>
      </c>
      <c r="AG30" s="266" t="s">
        <v>45</v>
      </c>
      <c r="AH30" s="265"/>
      <c r="AI30" s="265"/>
      <c r="AP30" s="267">
        <f t="shared" si="1"/>
        <v>244.53</v>
      </c>
      <c r="AQ30" s="267">
        <f t="shared" si="2"/>
        <v>11</v>
      </c>
      <c r="AR30" s="267">
        <f t="shared" si="7"/>
        <v>0</v>
      </c>
      <c r="AS30" s="267">
        <f t="shared" si="8"/>
        <v>0</v>
      </c>
      <c r="AW30" s="268" t="str">
        <f t="shared" si="9"/>
        <v>17, 36, 2022.07.28</v>
      </c>
      <c r="AX30" s="268" t="str">
        <f t="shared" si="10"/>
        <v>15, 50, 2022.07.29</v>
      </c>
      <c r="AY30" s="269" t="str">
        <f t="shared" si="11"/>
        <v>В</v>
      </c>
      <c r="AZ30" s="270">
        <f t="shared" si="12"/>
        <v>22.23</v>
      </c>
      <c r="BA30" s="262">
        <f t="shared" si="13"/>
        <v>11</v>
      </c>
      <c r="BB30" s="271">
        <f t="shared" si="14"/>
        <v>0</v>
      </c>
      <c r="BC30" s="271">
        <f t="shared" si="15"/>
        <v>0</v>
      </c>
      <c r="BD30" s="271">
        <f t="shared" si="16"/>
        <v>10</v>
      </c>
      <c r="BE30" s="271">
        <f t="shared" si="17"/>
        <v>0</v>
      </c>
      <c r="BF30" s="271">
        <f t="shared" si="18"/>
        <v>0</v>
      </c>
      <c r="BG30" s="271">
        <f t="shared" si="19"/>
        <v>9</v>
      </c>
      <c r="BH30" s="262">
        <f t="shared" si="20"/>
        <v>1</v>
      </c>
      <c r="BI30" s="271">
        <f t="shared" si="21"/>
        <v>1</v>
      </c>
      <c r="BJ30" s="272" t="str">
        <f t="shared" si="22"/>
        <v>1</v>
      </c>
      <c r="BK30" s="269"/>
      <c r="BL30" s="267">
        <f t="shared" si="3"/>
        <v>244.53</v>
      </c>
      <c r="BM30" s="267">
        <f t="shared" si="4"/>
        <v>11</v>
      </c>
      <c r="BN30" s="267">
        <f t="shared" si="23"/>
        <v>0</v>
      </c>
      <c r="BO30" s="267">
        <f t="shared" si="24"/>
        <v>0</v>
      </c>
    </row>
    <row r="31" spans="6:67" s="253" customFormat="1" ht="15" customHeight="1" x14ac:dyDescent="0.2">
      <c r="F31" s="254" t="s">
        <v>223</v>
      </c>
      <c r="G31" s="255" t="s">
        <v>2228</v>
      </c>
      <c r="H31" s="256" t="s">
        <v>1770</v>
      </c>
      <c r="I31" s="257" t="s">
        <v>29</v>
      </c>
      <c r="J31" s="256" t="s">
        <v>2229</v>
      </c>
      <c r="K31" s="258" t="s">
        <v>2200</v>
      </c>
      <c r="L31" s="259" t="s">
        <v>2230</v>
      </c>
      <c r="M31" s="259" t="s">
        <v>2231</v>
      </c>
      <c r="N31" s="260" t="s">
        <v>56</v>
      </c>
      <c r="O31" s="261">
        <v>46.134</v>
      </c>
      <c r="P31" s="256" t="s">
        <v>65</v>
      </c>
      <c r="Q31" s="256"/>
      <c r="R31" s="256"/>
      <c r="S31" s="262">
        <f t="shared" si="5"/>
        <v>1</v>
      </c>
      <c r="T31" s="263">
        <v>0</v>
      </c>
      <c r="U31" s="263">
        <v>0</v>
      </c>
      <c r="V31" s="263">
        <v>1</v>
      </c>
      <c r="W31" s="263">
        <v>0</v>
      </c>
      <c r="X31" s="263">
        <v>0</v>
      </c>
      <c r="Y31" s="263">
        <v>1</v>
      </c>
      <c r="Z31" s="262">
        <f t="shared" si="6"/>
        <v>0</v>
      </c>
      <c r="AA31" s="263">
        <v>0</v>
      </c>
      <c r="AB31" s="264">
        <v>0</v>
      </c>
      <c r="AC31" s="256" t="s">
        <v>2169</v>
      </c>
      <c r="AD31" s="265" t="s">
        <v>2223</v>
      </c>
      <c r="AE31" s="265" t="s">
        <v>128</v>
      </c>
      <c r="AF31" s="265" t="s">
        <v>2169</v>
      </c>
      <c r="AG31" s="266" t="s">
        <v>31</v>
      </c>
      <c r="AH31" s="265"/>
      <c r="AI31" s="265"/>
      <c r="AP31" s="267">
        <f t="shared" si="1"/>
        <v>0</v>
      </c>
      <c r="AQ31" s="267">
        <f t="shared" si="2"/>
        <v>0</v>
      </c>
      <c r="AR31" s="267">
        <f t="shared" si="7"/>
        <v>0</v>
      </c>
      <c r="AS31" s="267">
        <f t="shared" si="8"/>
        <v>0</v>
      </c>
      <c r="AW31" s="268" t="str">
        <f t="shared" si="9"/>
        <v>17, 42, 2022.07.28</v>
      </c>
      <c r="AX31" s="268" t="str">
        <f t="shared" si="10"/>
        <v>15, 50, 2022.07.30</v>
      </c>
      <c r="AY31" s="269" t="str">
        <f t="shared" si="11"/>
        <v>В</v>
      </c>
      <c r="AZ31" s="270">
        <f t="shared" si="12"/>
        <v>46.134</v>
      </c>
      <c r="BA31" s="262">
        <f t="shared" si="13"/>
        <v>1</v>
      </c>
      <c r="BB31" s="271">
        <f t="shared" si="14"/>
        <v>0</v>
      </c>
      <c r="BC31" s="271">
        <f t="shared" si="15"/>
        <v>0</v>
      </c>
      <c r="BD31" s="271">
        <f t="shared" si="16"/>
        <v>1</v>
      </c>
      <c r="BE31" s="271">
        <f t="shared" si="17"/>
        <v>0</v>
      </c>
      <c r="BF31" s="271">
        <f t="shared" si="18"/>
        <v>0</v>
      </c>
      <c r="BG31" s="271">
        <f t="shared" si="19"/>
        <v>1</v>
      </c>
      <c r="BH31" s="262">
        <f t="shared" si="20"/>
        <v>0</v>
      </c>
      <c r="BI31" s="271">
        <f t="shared" si="21"/>
        <v>0</v>
      </c>
      <c r="BJ31" s="272" t="str">
        <f t="shared" si="22"/>
        <v>0</v>
      </c>
      <c r="BK31" s="269"/>
      <c r="BL31" s="267">
        <f t="shared" si="3"/>
        <v>0</v>
      </c>
      <c r="BM31" s="267">
        <f t="shared" si="4"/>
        <v>0</v>
      </c>
      <c r="BN31" s="267">
        <f t="shared" si="23"/>
        <v>0</v>
      </c>
      <c r="BO31" s="267">
        <f t="shared" si="24"/>
        <v>0</v>
      </c>
    </row>
    <row r="32" spans="6:67" s="253" customFormat="1" ht="15" customHeight="1" x14ac:dyDescent="0.2">
      <c r="F32" s="254" t="s">
        <v>223</v>
      </c>
      <c r="G32" s="255" t="s">
        <v>2232</v>
      </c>
      <c r="H32" s="256" t="s">
        <v>1770</v>
      </c>
      <c r="I32" s="257" t="s">
        <v>29</v>
      </c>
      <c r="J32" s="256" t="s">
        <v>2233</v>
      </c>
      <c r="K32" s="258" t="s">
        <v>2200</v>
      </c>
      <c r="L32" s="259" t="s">
        <v>2234</v>
      </c>
      <c r="M32" s="259" t="s">
        <v>2235</v>
      </c>
      <c r="N32" s="260" t="s">
        <v>56</v>
      </c>
      <c r="O32" s="261">
        <v>3.77</v>
      </c>
      <c r="P32" s="256" t="s">
        <v>29</v>
      </c>
      <c r="Q32" s="256"/>
      <c r="R32" s="256"/>
      <c r="S32" s="262">
        <f t="shared" si="5"/>
        <v>16</v>
      </c>
      <c r="T32" s="263">
        <v>0</v>
      </c>
      <c r="U32" s="263">
        <v>0</v>
      </c>
      <c r="V32" s="263">
        <v>16</v>
      </c>
      <c r="W32" s="263">
        <v>0</v>
      </c>
      <c r="X32" s="263">
        <v>0</v>
      </c>
      <c r="Y32" s="263">
        <v>0</v>
      </c>
      <c r="Z32" s="262">
        <f t="shared" si="6"/>
        <v>16</v>
      </c>
      <c r="AA32" s="263">
        <v>0</v>
      </c>
      <c r="AB32" s="264">
        <v>0</v>
      </c>
      <c r="AC32" s="256" t="s">
        <v>2169</v>
      </c>
      <c r="AD32" s="265" t="s">
        <v>2236</v>
      </c>
      <c r="AE32" s="265" t="s">
        <v>160</v>
      </c>
      <c r="AF32" s="265" t="s">
        <v>2171</v>
      </c>
      <c r="AG32" s="266" t="s">
        <v>45</v>
      </c>
      <c r="AH32" s="265"/>
      <c r="AI32" s="265"/>
      <c r="AP32" s="267">
        <f t="shared" si="1"/>
        <v>60.32</v>
      </c>
      <c r="AQ32" s="267">
        <f t="shared" si="2"/>
        <v>16</v>
      </c>
      <c r="AR32" s="267">
        <f t="shared" si="7"/>
        <v>0</v>
      </c>
      <c r="AS32" s="267">
        <f t="shared" si="8"/>
        <v>0</v>
      </c>
      <c r="AW32" s="268" t="str">
        <f t="shared" si="9"/>
        <v>11, 50, 2022.08.02</v>
      </c>
      <c r="AX32" s="268" t="str">
        <f t="shared" si="10"/>
        <v>15, 36, 2022.08.02</v>
      </c>
      <c r="AY32" s="269" t="str">
        <f t="shared" si="11"/>
        <v>В</v>
      </c>
      <c r="AZ32" s="270">
        <f t="shared" si="12"/>
        <v>3.77</v>
      </c>
      <c r="BA32" s="262">
        <f t="shared" si="13"/>
        <v>16</v>
      </c>
      <c r="BB32" s="271">
        <f t="shared" si="14"/>
        <v>0</v>
      </c>
      <c r="BC32" s="271">
        <f t="shared" si="15"/>
        <v>0</v>
      </c>
      <c r="BD32" s="271">
        <f t="shared" si="16"/>
        <v>16</v>
      </c>
      <c r="BE32" s="271">
        <f t="shared" si="17"/>
        <v>0</v>
      </c>
      <c r="BF32" s="271">
        <f t="shared" si="18"/>
        <v>0</v>
      </c>
      <c r="BG32" s="271">
        <f t="shared" si="19"/>
        <v>0</v>
      </c>
      <c r="BH32" s="262">
        <f t="shared" si="20"/>
        <v>16</v>
      </c>
      <c r="BI32" s="271">
        <f t="shared" si="21"/>
        <v>0</v>
      </c>
      <c r="BJ32" s="272" t="str">
        <f t="shared" si="22"/>
        <v>1</v>
      </c>
      <c r="BK32" s="269"/>
      <c r="BL32" s="267">
        <f t="shared" si="3"/>
        <v>60.32</v>
      </c>
      <c r="BM32" s="267">
        <f t="shared" si="4"/>
        <v>16</v>
      </c>
      <c r="BN32" s="267">
        <f t="shared" si="23"/>
        <v>0</v>
      </c>
      <c r="BO32" s="267">
        <f t="shared" si="24"/>
        <v>0</v>
      </c>
    </row>
    <row r="33" spans="6:67" s="253" customFormat="1" ht="15" customHeight="1" x14ac:dyDescent="0.2">
      <c r="F33" s="254" t="s">
        <v>223</v>
      </c>
      <c r="G33" s="255" t="s">
        <v>2237</v>
      </c>
      <c r="H33" s="256" t="s">
        <v>1770</v>
      </c>
      <c r="I33" s="257" t="s">
        <v>65</v>
      </c>
      <c r="J33" s="256" t="s">
        <v>2238</v>
      </c>
      <c r="K33" s="258" t="s">
        <v>2160</v>
      </c>
      <c r="L33" s="259" t="s">
        <v>2239</v>
      </c>
      <c r="M33" s="259" t="s">
        <v>2240</v>
      </c>
      <c r="N33" s="260" t="s">
        <v>56</v>
      </c>
      <c r="O33" s="261">
        <v>24.67</v>
      </c>
      <c r="P33" s="256" t="s">
        <v>65</v>
      </c>
      <c r="Q33" s="256"/>
      <c r="R33" s="256"/>
      <c r="S33" s="262">
        <f t="shared" si="5"/>
        <v>1</v>
      </c>
      <c r="T33" s="263">
        <v>0</v>
      </c>
      <c r="U33" s="263">
        <v>0</v>
      </c>
      <c r="V33" s="263">
        <v>1</v>
      </c>
      <c r="W33" s="263">
        <v>0</v>
      </c>
      <c r="X33" s="263">
        <v>0</v>
      </c>
      <c r="Y33" s="263">
        <v>0</v>
      </c>
      <c r="Z33" s="262">
        <f t="shared" si="6"/>
        <v>1</v>
      </c>
      <c r="AA33" s="263">
        <v>0</v>
      </c>
      <c r="AB33" s="264">
        <v>0</v>
      </c>
      <c r="AC33" s="256" t="s">
        <v>2169</v>
      </c>
      <c r="AD33" s="265" t="s">
        <v>2241</v>
      </c>
      <c r="AE33" s="265" t="s">
        <v>96</v>
      </c>
      <c r="AF33" s="265" t="s">
        <v>2242</v>
      </c>
      <c r="AG33" s="266" t="s">
        <v>45</v>
      </c>
      <c r="AH33" s="265"/>
      <c r="AI33" s="265"/>
      <c r="AP33" s="267">
        <f t="shared" si="1"/>
        <v>24.67</v>
      </c>
      <c r="AQ33" s="267">
        <f t="shared" si="2"/>
        <v>1</v>
      </c>
      <c r="AR33" s="267">
        <f t="shared" si="7"/>
        <v>0</v>
      </c>
      <c r="AS33" s="267">
        <f t="shared" si="8"/>
        <v>0</v>
      </c>
      <c r="AW33" s="268" t="str">
        <f t="shared" si="9"/>
        <v>14, 25, 2022.08.25</v>
      </c>
      <c r="AX33" s="268" t="str">
        <f t="shared" si="10"/>
        <v>15, 05, 2022.08.26</v>
      </c>
      <c r="AY33" s="269" t="str">
        <f t="shared" si="11"/>
        <v>В</v>
      </c>
      <c r="AZ33" s="270">
        <f t="shared" si="12"/>
        <v>24.67</v>
      </c>
      <c r="BA33" s="262">
        <f t="shared" si="13"/>
        <v>1</v>
      </c>
      <c r="BB33" s="271">
        <f t="shared" si="14"/>
        <v>0</v>
      </c>
      <c r="BC33" s="271">
        <f t="shared" si="15"/>
        <v>0</v>
      </c>
      <c r="BD33" s="271">
        <f t="shared" si="16"/>
        <v>1</v>
      </c>
      <c r="BE33" s="271">
        <f t="shared" si="17"/>
        <v>0</v>
      </c>
      <c r="BF33" s="271">
        <f t="shared" si="18"/>
        <v>0</v>
      </c>
      <c r="BG33" s="271">
        <f t="shared" si="19"/>
        <v>0</v>
      </c>
      <c r="BH33" s="262">
        <f t="shared" si="20"/>
        <v>1</v>
      </c>
      <c r="BI33" s="271">
        <f t="shared" si="21"/>
        <v>0</v>
      </c>
      <c r="BJ33" s="272" t="str">
        <f t="shared" si="22"/>
        <v>1</v>
      </c>
      <c r="BK33" s="269"/>
      <c r="BL33" s="267">
        <f t="shared" si="3"/>
        <v>24.67</v>
      </c>
      <c r="BM33" s="267">
        <f t="shared" si="4"/>
        <v>1</v>
      </c>
      <c r="BN33" s="267">
        <f t="shared" si="23"/>
        <v>0</v>
      </c>
      <c r="BO33" s="267">
        <f t="shared" si="24"/>
        <v>0</v>
      </c>
    </row>
    <row r="34" spans="6:67" s="253" customFormat="1" ht="15" customHeight="1" x14ac:dyDescent="0.2">
      <c r="F34" s="254" t="s">
        <v>223</v>
      </c>
      <c r="G34" s="255" t="s">
        <v>2243</v>
      </c>
      <c r="H34" s="256" t="s">
        <v>1770</v>
      </c>
      <c r="I34" s="257" t="s">
        <v>29</v>
      </c>
      <c r="J34" s="256" t="s">
        <v>2159</v>
      </c>
      <c r="K34" s="258" t="s">
        <v>2160</v>
      </c>
      <c r="L34" s="259" t="s">
        <v>2244</v>
      </c>
      <c r="M34" s="259" t="s">
        <v>2245</v>
      </c>
      <c r="N34" s="260" t="s">
        <v>56</v>
      </c>
      <c r="O34" s="261">
        <v>1.07</v>
      </c>
      <c r="P34" s="256" t="s">
        <v>29</v>
      </c>
      <c r="Q34" s="256"/>
      <c r="R34" s="256"/>
      <c r="S34" s="262">
        <f t="shared" si="5"/>
        <v>22</v>
      </c>
      <c r="T34" s="263">
        <v>0</v>
      </c>
      <c r="U34" s="263">
        <v>0</v>
      </c>
      <c r="V34" s="263">
        <v>22</v>
      </c>
      <c r="W34" s="263">
        <v>0</v>
      </c>
      <c r="X34" s="263">
        <v>0</v>
      </c>
      <c r="Y34" s="263">
        <v>0</v>
      </c>
      <c r="Z34" s="262">
        <f t="shared" si="6"/>
        <v>22</v>
      </c>
      <c r="AA34" s="263">
        <v>0</v>
      </c>
      <c r="AB34" s="264">
        <v>0</v>
      </c>
      <c r="AC34" s="256" t="s">
        <v>2169</v>
      </c>
      <c r="AD34" s="265" t="s">
        <v>2246</v>
      </c>
      <c r="AE34" s="265" t="s">
        <v>160</v>
      </c>
      <c r="AF34" s="265" t="s">
        <v>2171</v>
      </c>
      <c r="AG34" s="266" t="s">
        <v>45</v>
      </c>
      <c r="AH34" s="265"/>
      <c r="AI34" s="265"/>
      <c r="AP34" s="267">
        <f t="shared" si="1"/>
        <v>23.540000000000003</v>
      </c>
      <c r="AQ34" s="267">
        <f t="shared" si="2"/>
        <v>22</v>
      </c>
      <c r="AR34" s="267">
        <f t="shared" si="7"/>
        <v>0</v>
      </c>
      <c r="AS34" s="267">
        <f t="shared" si="8"/>
        <v>0</v>
      </c>
      <c r="AW34" s="268" t="str">
        <f t="shared" si="9"/>
        <v>07, 01, 2022.08.26</v>
      </c>
      <c r="AX34" s="268" t="str">
        <f t="shared" si="10"/>
        <v>08, 05, 2022.08.26</v>
      </c>
      <c r="AY34" s="269" t="str">
        <f t="shared" si="11"/>
        <v>В</v>
      </c>
      <c r="AZ34" s="270">
        <f t="shared" si="12"/>
        <v>1.07</v>
      </c>
      <c r="BA34" s="262">
        <f t="shared" si="13"/>
        <v>22</v>
      </c>
      <c r="BB34" s="271">
        <f t="shared" si="14"/>
        <v>0</v>
      </c>
      <c r="BC34" s="271">
        <f t="shared" si="15"/>
        <v>0</v>
      </c>
      <c r="BD34" s="271">
        <f t="shared" si="16"/>
        <v>22</v>
      </c>
      <c r="BE34" s="271">
        <f t="shared" si="17"/>
        <v>0</v>
      </c>
      <c r="BF34" s="271">
        <f t="shared" si="18"/>
        <v>0</v>
      </c>
      <c r="BG34" s="271">
        <f t="shared" si="19"/>
        <v>0</v>
      </c>
      <c r="BH34" s="262">
        <f t="shared" si="20"/>
        <v>22</v>
      </c>
      <c r="BI34" s="271">
        <f t="shared" si="21"/>
        <v>0</v>
      </c>
      <c r="BJ34" s="272" t="str">
        <f t="shared" si="22"/>
        <v>1</v>
      </c>
      <c r="BK34" s="269"/>
      <c r="BL34" s="267">
        <f t="shared" si="3"/>
        <v>23.540000000000003</v>
      </c>
      <c r="BM34" s="267">
        <f t="shared" si="4"/>
        <v>22</v>
      </c>
      <c r="BN34" s="267">
        <f t="shared" si="23"/>
        <v>0</v>
      </c>
      <c r="BO34" s="267">
        <f t="shared" si="24"/>
        <v>0</v>
      </c>
    </row>
    <row r="35" spans="6:67" s="253" customFormat="1" ht="15" customHeight="1" x14ac:dyDescent="0.2">
      <c r="F35" s="254" t="s">
        <v>223</v>
      </c>
      <c r="G35" s="255" t="s">
        <v>2247</v>
      </c>
      <c r="H35" s="256" t="s">
        <v>1770</v>
      </c>
      <c r="I35" s="257" t="s">
        <v>65</v>
      </c>
      <c r="J35" s="256" t="s">
        <v>2248</v>
      </c>
      <c r="K35" s="258" t="s">
        <v>2160</v>
      </c>
      <c r="L35" s="259" t="s">
        <v>2249</v>
      </c>
      <c r="M35" s="259" t="s">
        <v>2250</v>
      </c>
      <c r="N35" s="260" t="s">
        <v>56</v>
      </c>
      <c r="O35" s="261">
        <v>2.4660000000000002</v>
      </c>
      <c r="P35" s="256" t="s">
        <v>65</v>
      </c>
      <c r="Q35" s="256"/>
      <c r="R35" s="256"/>
      <c r="S35" s="262">
        <f t="shared" si="5"/>
        <v>3</v>
      </c>
      <c r="T35" s="263">
        <v>0</v>
      </c>
      <c r="U35" s="263">
        <v>0</v>
      </c>
      <c r="V35" s="263">
        <v>3</v>
      </c>
      <c r="W35" s="263">
        <v>0</v>
      </c>
      <c r="X35" s="263">
        <v>0</v>
      </c>
      <c r="Y35" s="263">
        <v>0</v>
      </c>
      <c r="Z35" s="262">
        <f t="shared" si="6"/>
        <v>3</v>
      </c>
      <c r="AA35" s="263">
        <v>0</v>
      </c>
      <c r="AB35" s="264">
        <v>0</v>
      </c>
      <c r="AC35" s="256" t="s">
        <v>2169</v>
      </c>
      <c r="AD35" s="265" t="s">
        <v>2251</v>
      </c>
      <c r="AE35" s="265" t="s">
        <v>122</v>
      </c>
      <c r="AF35" s="265" t="s">
        <v>2169</v>
      </c>
      <c r="AG35" s="266" t="s">
        <v>31</v>
      </c>
      <c r="AH35" s="265"/>
      <c r="AI35" s="265"/>
      <c r="AP35" s="267">
        <f t="shared" si="1"/>
        <v>0</v>
      </c>
      <c r="AQ35" s="267">
        <f t="shared" si="2"/>
        <v>0</v>
      </c>
      <c r="AR35" s="267">
        <f t="shared" si="7"/>
        <v>0</v>
      </c>
      <c r="AS35" s="267">
        <f t="shared" si="8"/>
        <v>0</v>
      </c>
      <c r="AW35" s="268" t="str">
        <f t="shared" si="9"/>
        <v>07, 50, 2022.09.01</v>
      </c>
      <c r="AX35" s="268" t="str">
        <f t="shared" si="10"/>
        <v>10, 18, 2022.09.01</v>
      </c>
      <c r="AY35" s="269" t="str">
        <f t="shared" si="11"/>
        <v>В</v>
      </c>
      <c r="AZ35" s="270">
        <f t="shared" si="12"/>
        <v>2.4660000000000002</v>
      </c>
      <c r="BA35" s="262">
        <f t="shared" si="13"/>
        <v>3</v>
      </c>
      <c r="BB35" s="271">
        <f t="shared" si="14"/>
        <v>0</v>
      </c>
      <c r="BC35" s="271">
        <f t="shared" si="15"/>
        <v>0</v>
      </c>
      <c r="BD35" s="271">
        <f t="shared" si="16"/>
        <v>3</v>
      </c>
      <c r="BE35" s="271">
        <f t="shared" si="17"/>
        <v>0</v>
      </c>
      <c r="BF35" s="271">
        <f t="shared" si="18"/>
        <v>0</v>
      </c>
      <c r="BG35" s="271">
        <f t="shared" si="19"/>
        <v>0</v>
      </c>
      <c r="BH35" s="262">
        <f t="shared" si="20"/>
        <v>3</v>
      </c>
      <c r="BI35" s="271">
        <f t="shared" si="21"/>
        <v>0</v>
      </c>
      <c r="BJ35" s="272" t="str">
        <f t="shared" si="22"/>
        <v>0</v>
      </c>
      <c r="BK35" s="269"/>
      <c r="BL35" s="267">
        <f t="shared" si="3"/>
        <v>0</v>
      </c>
      <c r="BM35" s="267">
        <f t="shared" si="4"/>
        <v>0</v>
      </c>
      <c r="BN35" s="267">
        <f t="shared" si="23"/>
        <v>0</v>
      </c>
      <c r="BO35" s="267">
        <f t="shared" si="24"/>
        <v>0</v>
      </c>
    </row>
    <row r="36" spans="6:67" s="253" customFormat="1" ht="15" customHeight="1" x14ac:dyDescent="0.2">
      <c r="F36" s="254" t="s">
        <v>223</v>
      </c>
      <c r="G36" s="255" t="s">
        <v>2252</v>
      </c>
      <c r="H36" s="256" t="s">
        <v>1770</v>
      </c>
      <c r="I36" s="257" t="s">
        <v>29</v>
      </c>
      <c r="J36" s="256" t="s">
        <v>2253</v>
      </c>
      <c r="K36" s="258" t="s">
        <v>2200</v>
      </c>
      <c r="L36" s="259" t="s">
        <v>2254</v>
      </c>
      <c r="M36" s="259" t="s">
        <v>2255</v>
      </c>
      <c r="N36" s="260" t="s">
        <v>56</v>
      </c>
      <c r="O36" s="261">
        <v>3.82</v>
      </c>
      <c r="P36" s="256" t="s">
        <v>65</v>
      </c>
      <c r="Q36" s="256"/>
      <c r="R36" s="256"/>
      <c r="S36" s="262">
        <f t="shared" si="5"/>
        <v>9</v>
      </c>
      <c r="T36" s="263">
        <v>0</v>
      </c>
      <c r="U36" s="263">
        <v>0</v>
      </c>
      <c r="V36" s="263">
        <v>9</v>
      </c>
      <c r="W36" s="263">
        <v>0</v>
      </c>
      <c r="X36" s="263">
        <v>0</v>
      </c>
      <c r="Y36" s="263">
        <v>8</v>
      </c>
      <c r="Z36" s="262">
        <f t="shared" si="6"/>
        <v>1</v>
      </c>
      <c r="AA36" s="263">
        <v>0</v>
      </c>
      <c r="AB36" s="264">
        <v>0</v>
      </c>
      <c r="AC36" s="256" t="s">
        <v>2169</v>
      </c>
      <c r="AD36" s="265" t="s">
        <v>2256</v>
      </c>
      <c r="AE36" s="265" t="s">
        <v>147</v>
      </c>
      <c r="AF36" s="265" t="s">
        <v>2171</v>
      </c>
      <c r="AG36" s="266" t="s">
        <v>45</v>
      </c>
      <c r="AH36" s="265"/>
      <c r="AI36" s="265"/>
      <c r="AP36" s="267">
        <f t="shared" si="1"/>
        <v>34.379999999999995</v>
      </c>
      <c r="AQ36" s="267">
        <f t="shared" si="2"/>
        <v>9</v>
      </c>
      <c r="AR36" s="267">
        <f t="shared" si="7"/>
        <v>0</v>
      </c>
      <c r="AS36" s="267">
        <f t="shared" si="8"/>
        <v>0</v>
      </c>
      <c r="AW36" s="268" t="str">
        <f t="shared" si="9"/>
        <v>08, 55, 2022.09.10</v>
      </c>
      <c r="AX36" s="268" t="str">
        <f t="shared" si="10"/>
        <v>12, 44, 2022.09.10</v>
      </c>
      <c r="AY36" s="269" t="str">
        <f t="shared" si="11"/>
        <v>В</v>
      </c>
      <c r="AZ36" s="270">
        <f t="shared" si="12"/>
        <v>3.82</v>
      </c>
      <c r="BA36" s="262">
        <f t="shared" si="13"/>
        <v>9</v>
      </c>
      <c r="BB36" s="271">
        <f t="shared" si="14"/>
        <v>0</v>
      </c>
      <c r="BC36" s="271">
        <f t="shared" si="15"/>
        <v>0</v>
      </c>
      <c r="BD36" s="271">
        <f t="shared" si="16"/>
        <v>9</v>
      </c>
      <c r="BE36" s="271">
        <f t="shared" si="17"/>
        <v>0</v>
      </c>
      <c r="BF36" s="271">
        <f t="shared" si="18"/>
        <v>0</v>
      </c>
      <c r="BG36" s="271">
        <f t="shared" si="19"/>
        <v>8</v>
      </c>
      <c r="BH36" s="262">
        <f t="shared" si="20"/>
        <v>1</v>
      </c>
      <c r="BI36" s="271">
        <f t="shared" si="21"/>
        <v>0</v>
      </c>
      <c r="BJ36" s="272" t="str">
        <f t="shared" si="22"/>
        <v>1</v>
      </c>
      <c r="BK36" s="269"/>
      <c r="BL36" s="267">
        <f t="shared" si="3"/>
        <v>34.379999999999995</v>
      </c>
      <c r="BM36" s="267">
        <f t="shared" si="4"/>
        <v>9</v>
      </c>
      <c r="BN36" s="267">
        <f t="shared" si="23"/>
        <v>0</v>
      </c>
      <c r="BO36" s="267">
        <f t="shared" si="24"/>
        <v>0</v>
      </c>
    </row>
    <row r="37" spans="6:67" s="253" customFormat="1" ht="15" customHeight="1" x14ac:dyDescent="0.2">
      <c r="F37" s="254" t="s">
        <v>223</v>
      </c>
      <c r="G37" s="255" t="s">
        <v>2257</v>
      </c>
      <c r="H37" s="256" t="s">
        <v>1770</v>
      </c>
      <c r="I37" s="257" t="s">
        <v>55</v>
      </c>
      <c r="J37" s="256" t="s">
        <v>2258</v>
      </c>
      <c r="K37" s="258" t="s">
        <v>2200</v>
      </c>
      <c r="L37" s="259" t="s">
        <v>2259</v>
      </c>
      <c r="M37" s="259" t="s">
        <v>2260</v>
      </c>
      <c r="N37" s="260" t="s">
        <v>56</v>
      </c>
      <c r="O37" s="261">
        <v>0.75</v>
      </c>
      <c r="P37" s="256" t="s">
        <v>55</v>
      </c>
      <c r="Q37" s="256"/>
      <c r="R37" s="256"/>
      <c r="S37" s="262">
        <f t="shared" si="5"/>
        <v>6</v>
      </c>
      <c r="T37" s="263">
        <v>0</v>
      </c>
      <c r="U37" s="263">
        <v>0</v>
      </c>
      <c r="V37" s="263">
        <v>5</v>
      </c>
      <c r="W37" s="263">
        <v>0</v>
      </c>
      <c r="X37" s="263">
        <v>0</v>
      </c>
      <c r="Y37" s="263">
        <v>5</v>
      </c>
      <c r="Z37" s="262">
        <f t="shared" si="6"/>
        <v>0</v>
      </c>
      <c r="AA37" s="263">
        <v>1</v>
      </c>
      <c r="AB37" s="264">
        <v>0</v>
      </c>
      <c r="AC37" s="256" t="s">
        <v>2169</v>
      </c>
      <c r="AD37" s="265" t="s">
        <v>2261</v>
      </c>
      <c r="AE37" s="265" t="s">
        <v>128</v>
      </c>
      <c r="AF37" s="265" t="s">
        <v>2262</v>
      </c>
      <c r="AG37" s="266" t="s">
        <v>45</v>
      </c>
      <c r="AH37" s="265"/>
      <c r="AI37" s="265"/>
      <c r="AP37" s="267">
        <f t="shared" si="1"/>
        <v>4.5</v>
      </c>
      <c r="AQ37" s="267">
        <f t="shared" si="2"/>
        <v>6</v>
      </c>
      <c r="AR37" s="267">
        <f t="shared" si="7"/>
        <v>0</v>
      </c>
      <c r="AS37" s="267">
        <f t="shared" si="8"/>
        <v>0</v>
      </c>
      <c r="AW37" s="268" t="str">
        <f t="shared" si="9"/>
        <v>11, 35, 2022.09.14</v>
      </c>
      <c r="AX37" s="268" t="str">
        <f t="shared" si="10"/>
        <v>12, 20, 2022.09.14</v>
      </c>
      <c r="AY37" s="269" t="str">
        <f t="shared" si="11"/>
        <v>В</v>
      </c>
      <c r="AZ37" s="270">
        <f t="shared" si="12"/>
        <v>0.75</v>
      </c>
      <c r="BA37" s="262">
        <f t="shared" si="13"/>
        <v>6</v>
      </c>
      <c r="BB37" s="271">
        <f t="shared" si="14"/>
        <v>0</v>
      </c>
      <c r="BC37" s="271">
        <f t="shared" si="15"/>
        <v>0</v>
      </c>
      <c r="BD37" s="271">
        <f t="shared" si="16"/>
        <v>5</v>
      </c>
      <c r="BE37" s="271">
        <f t="shared" si="17"/>
        <v>0</v>
      </c>
      <c r="BF37" s="271">
        <f t="shared" si="18"/>
        <v>0</v>
      </c>
      <c r="BG37" s="271">
        <f t="shared" si="19"/>
        <v>5</v>
      </c>
      <c r="BH37" s="262">
        <f t="shared" si="20"/>
        <v>0</v>
      </c>
      <c r="BI37" s="271">
        <f t="shared" si="21"/>
        <v>1</v>
      </c>
      <c r="BJ37" s="272" t="str">
        <f t="shared" si="22"/>
        <v>1</v>
      </c>
      <c r="BK37" s="269"/>
      <c r="BL37" s="267">
        <f t="shared" si="3"/>
        <v>4.5</v>
      </c>
      <c r="BM37" s="267">
        <f t="shared" si="4"/>
        <v>6</v>
      </c>
      <c r="BN37" s="267">
        <f t="shared" si="23"/>
        <v>0</v>
      </c>
      <c r="BO37" s="267">
        <f t="shared" si="24"/>
        <v>0</v>
      </c>
    </row>
    <row r="38" spans="6:67" s="253" customFormat="1" ht="15" customHeight="1" x14ac:dyDescent="0.2">
      <c r="F38" s="254" t="s">
        <v>223</v>
      </c>
      <c r="G38" s="255" t="s">
        <v>2263</v>
      </c>
      <c r="H38" s="256" t="s">
        <v>1770</v>
      </c>
      <c r="I38" s="257" t="s">
        <v>55</v>
      </c>
      <c r="J38" s="256" t="s">
        <v>2264</v>
      </c>
      <c r="K38" s="258">
        <v>35</v>
      </c>
      <c r="L38" s="259" t="s">
        <v>2265</v>
      </c>
      <c r="M38" s="259" t="s">
        <v>2266</v>
      </c>
      <c r="N38" s="260" t="s">
        <v>30</v>
      </c>
      <c r="O38" s="261">
        <v>2.5</v>
      </c>
      <c r="P38" s="256" t="s">
        <v>55</v>
      </c>
      <c r="Q38" s="256"/>
      <c r="R38" s="256"/>
      <c r="S38" s="262">
        <f t="shared" si="5"/>
        <v>0</v>
      </c>
      <c r="T38" s="263">
        <v>0</v>
      </c>
      <c r="U38" s="263">
        <v>0</v>
      </c>
      <c r="V38" s="263">
        <v>0</v>
      </c>
      <c r="W38" s="263">
        <v>0</v>
      </c>
      <c r="X38" s="263">
        <v>0</v>
      </c>
      <c r="Y38" s="263">
        <v>0</v>
      </c>
      <c r="Z38" s="262">
        <f t="shared" si="6"/>
        <v>0</v>
      </c>
      <c r="AA38" s="263">
        <v>0</v>
      </c>
      <c r="AB38" s="264">
        <v>0</v>
      </c>
      <c r="AC38" s="256" t="s">
        <v>2169</v>
      </c>
      <c r="AD38" s="265" t="s">
        <v>2267</v>
      </c>
      <c r="AE38" s="265" t="s">
        <v>2169</v>
      </c>
      <c r="AF38" s="265" t="s">
        <v>2169</v>
      </c>
      <c r="AG38" s="266" t="s">
        <v>45</v>
      </c>
      <c r="AH38" s="265"/>
      <c r="AI38" s="265"/>
      <c r="AP38" s="267">
        <f t="shared" si="1"/>
        <v>0</v>
      </c>
      <c r="AQ38" s="267">
        <f t="shared" si="2"/>
        <v>0</v>
      </c>
      <c r="AR38" s="267">
        <f t="shared" si="7"/>
        <v>0</v>
      </c>
      <c r="AS38" s="267">
        <f t="shared" si="8"/>
        <v>0</v>
      </c>
      <c r="AW38" s="268" t="str">
        <f t="shared" si="9"/>
        <v>10, 00, 2022.09.18</v>
      </c>
      <c r="AX38" s="268" t="str">
        <f t="shared" si="10"/>
        <v>12, 30, 2022.09.18</v>
      </c>
      <c r="AY38" s="269" t="str">
        <f t="shared" si="11"/>
        <v>П</v>
      </c>
      <c r="AZ38" s="270">
        <f t="shared" si="12"/>
        <v>2.5</v>
      </c>
      <c r="BA38" s="262">
        <f t="shared" si="13"/>
        <v>0</v>
      </c>
      <c r="BB38" s="271">
        <f t="shared" si="14"/>
        <v>0</v>
      </c>
      <c r="BC38" s="271">
        <f t="shared" si="15"/>
        <v>0</v>
      </c>
      <c r="BD38" s="271">
        <f t="shared" si="16"/>
        <v>0</v>
      </c>
      <c r="BE38" s="271">
        <f t="shared" si="17"/>
        <v>0</v>
      </c>
      <c r="BF38" s="271">
        <f t="shared" si="18"/>
        <v>0</v>
      </c>
      <c r="BG38" s="271">
        <f t="shared" si="19"/>
        <v>0</v>
      </c>
      <c r="BH38" s="262">
        <f t="shared" si="20"/>
        <v>0</v>
      </c>
      <c r="BI38" s="271">
        <f t="shared" si="21"/>
        <v>0</v>
      </c>
      <c r="BJ38" s="272" t="str">
        <f t="shared" si="22"/>
        <v>1</v>
      </c>
      <c r="BK38" s="269"/>
      <c r="BL38" s="267">
        <f t="shared" si="3"/>
        <v>0</v>
      </c>
      <c r="BM38" s="267">
        <f t="shared" si="4"/>
        <v>0</v>
      </c>
      <c r="BN38" s="267">
        <f t="shared" si="23"/>
        <v>0</v>
      </c>
      <c r="BO38" s="267">
        <f t="shared" si="24"/>
        <v>0</v>
      </c>
    </row>
    <row r="39" spans="6:67" s="253" customFormat="1" ht="15" customHeight="1" x14ac:dyDescent="0.2">
      <c r="F39" s="254" t="s">
        <v>223</v>
      </c>
      <c r="G39" s="255" t="s">
        <v>2268</v>
      </c>
      <c r="H39" s="256" t="s">
        <v>1770</v>
      </c>
      <c r="I39" s="257" t="s">
        <v>55</v>
      </c>
      <c r="J39" s="256" t="s">
        <v>2264</v>
      </c>
      <c r="K39" s="258">
        <v>35</v>
      </c>
      <c r="L39" s="259" t="s">
        <v>2269</v>
      </c>
      <c r="M39" s="259" t="s">
        <v>2270</v>
      </c>
      <c r="N39" s="260" t="s">
        <v>56</v>
      </c>
      <c r="O39" s="261">
        <v>0.67</v>
      </c>
      <c r="P39" s="256" t="s">
        <v>55</v>
      </c>
      <c r="Q39" s="256"/>
      <c r="R39" s="256"/>
      <c r="S39" s="262">
        <f t="shared" si="5"/>
        <v>29</v>
      </c>
      <c r="T39" s="263">
        <v>0</v>
      </c>
      <c r="U39" s="263">
        <v>1</v>
      </c>
      <c r="V39" s="263">
        <v>27</v>
      </c>
      <c r="W39" s="263">
        <v>0</v>
      </c>
      <c r="X39" s="263">
        <v>0</v>
      </c>
      <c r="Y39" s="263">
        <v>11</v>
      </c>
      <c r="Z39" s="262">
        <f t="shared" si="6"/>
        <v>17</v>
      </c>
      <c r="AA39" s="263">
        <v>1</v>
      </c>
      <c r="AB39" s="264">
        <v>0</v>
      </c>
      <c r="AC39" s="256" t="s">
        <v>2169</v>
      </c>
      <c r="AD39" s="265" t="s">
        <v>2271</v>
      </c>
      <c r="AE39" s="265" t="s">
        <v>160</v>
      </c>
      <c r="AF39" s="265" t="s">
        <v>2165</v>
      </c>
      <c r="AG39" s="266" t="s">
        <v>45</v>
      </c>
      <c r="AH39" s="265"/>
      <c r="AI39" s="265"/>
      <c r="AP39" s="267">
        <f t="shared" si="1"/>
        <v>19.43</v>
      </c>
      <c r="AQ39" s="267">
        <f t="shared" si="2"/>
        <v>29</v>
      </c>
      <c r="AR39" s="267">
        <f t="shared" si="7"/>
        <v>0</v>
      </c>
      <c r="AS39" s="267">
        <f t="shared" si="8"/>
        <v>0</v>
      </c>
      <c r="AW39" s="268" t="str">
        <f t="shared" si="9"/>
        <v>20, 30, 2022.09.19</v>
      </c>
      <c r="AX39" s="268" t="str">
        <f t="shared" si="10"/>
        <v>21, 10, 2022.09.19</v>
      </c>
      <c r="AY39" s="269" t="str">
        <f t="shared" si="11"/>
        <v>В</v>
      </c>
      <c r="AZ39" s="270">
        <f t="shared" si="12"/>
        <v>0.67</v>
      </c>
      <c r="BA39" s="262">
        <f t="shared" si="13"/>
        <v>29</v>
      </c>
      <c r="BB39" s="271">
        <f t="shared" si="14"/>
        <v>0</v>
      </c>
      <c r="BC39" s="271">
        <f t="shared" si="15"/>
        <v>1</v>
      </c>
      <c r="BD39" s="271">
        <f t="shared" si="16"/>
        <v>27</v>
      </c>
      <c r="BE39" s="271">
        <f t="shared" si="17"/>
        <v>0</v>
      </c>
      <c r="BF39" s="271">
        <f t="shared" si="18"/>
        <v>0</v>
      </c>
      <c r="BG39" s="271">
        <f t="shared" si="19"/>
        <v>11</v>
      </c>
      <c r="BH39" s="262">
        <f t="shared" si="20"/>
        <v>17</v>
      </c>
      <c r="BI39" s="271">
        <f t="shared" si="21"/>
        <v>1</v>
      </c>
      <c r="BJ39" s="272" t="str">
        <f t="shared" si="22"/>
        <v>1</v>
      </c>
      <c r="BK39" s="269"/>
      <c r="BL39" s="267">
        <f t="shared" si="3"/>
        <v>19.43</v>
      </c>
      <c r="BM39" s="267">
        <f t="shared" si="4"/>
        <v>29</v>
      </c>
      <c r="BN39" s="267">
        <f t="shared" si="23"/>
        <v>0</v>
      </c>
      <c r="BO39" s="267">
        <f t="shared" si="24"/>
        <v>0</v>
      </c>
    </row>
    <row r="40" spans="6:67" s="253" customFormat="1" ht="15" customHeight="1" x14ac:dyDescent="0.2">
      <c r="F40" s="254" t="s">
        <v>223</v>
      </c>
      <c r="G40" s="255" t="s">
        <v>2272</v>
      </c>
      <c r="H40" s="256" t="s">
        <v>1770</v>
      </c>
      <c r="I40" s="257" t="s">
        <v>29</v>
      </c>
      <c r="J40" s="256" t="s">
        <v>2253</v>
      </c>
      <c r="K40" s="258" t="s">
        <v>2200</v>
      </c>
      <c r="L40" s="259" t="s">
        <v>2273</v>
      </c>
      <c r="M40" s="259" t="s">
        <v>2274</v>
      </c>
      <c r="N40" s="260" t="s">
        <v>56</v>
      </c>
      <c r="O40" s="261">
        <v>1.53</v>
      </c>
      <c r="P40" s="256" t="s">
        <v>65</v>
      </c>
      <c r="Q40" s="256"/>
      <c r="R40" s="256"/>
      <c r="S40" s="262">
        <f t="shared" si="5"/>
        <v>10</v>
      </c>
      <c r="T40" s="263">
        <v>0</v>
      </c>
      <c r="U40" s="263">
        <v>0</v>
      </c>
      <c r="V40" s="263">
        <v>10</v>
      </c>
      <c r="W40" s="263">
        <v>0</v>
      </c>
      <c r="X40" s="263">
        <v>0</v>
      </c>
      <c r="Y40" s="263">
        <v>9</v>
      </c>
      <c r="Z40" s="262">
        <f t="shared" si="6"/>
        <v>1</v>
      </c>
      <c r="AA40" s="263">
        <v>0</v>
      </c>
      <c r="AB40" s="264">
        <v>0</v>
      </c>
      <c r="AC40" s="256" t="s">
        <v>2169</v>
      </c>
      <c r="AD40" s="265" t="s">
        <v>2275</v>
      </c>
      <c r="AE40" s="265" t="s">
        <v>147</v>
      </c>
      <c r="AF40" s="265" t="s">
        <v>2171</v>
      </c>
      <c r="AG40" s="266" t="s">
        <v>45</v>
      </c>
      <c r="AH40" s="265"/>
      <c r="AI40" s="265"/>
      <c r="AP40" s="267">
        <f t="shared" si="1"/>
        <v>15.3</v>
      </c>
      <c r="AQ40" s="267">
        <f t="shared" si="2"/>
        <v>10</v>
      </c>
      <c r="AR40" s="267">
        <f t="shared" si="7"/>
        <v>0</v>
      </c>
      <c r="AS40" s="267">
        <f t="shared" si="8"/>
        <v>0</v>
      </c>
      <c r="AW40" s="268" t="str">
        <f t="shared" si="9"/>
        <v>23, 53, 2022.10.10</v>
      </c>
      <c r="AX40" s="268" t="str">
        <f t="shared" si="10"/>
        <v>01, 25, 2022.10.11</v>
      </c>
      <c r="AY40" s="269" t="str">
        <f t="shared" si="11"/>
        <v>В</v>
      </c>
      <c r="AZ40" s="270">
        <f t="shared" si="12"/>
        <v>1.53</v>
      </c>
      <c r="BA40" s="262">
        <f t="shared" si="13"/>
        <v>10</v>
      </c>
      <c r="BB40" s="271">
        <f t="shared" si="14"/>
        <v>0</v>
      </c>
      <c r="BC40" s="271">
        <f t="shared" si="15"/>
        <v>0</v>
      </c>
      <c r="BD40" s="271">
        <f t="shared" si="16"/>
        <v>10</v>
      </c>
      <c r="BE40" s="271">
        <f t="shared" si="17"/>
        <v>0</v>
      </c>
      <c r="BF40" s="271">
        <f t="shared" si="18"/>
        <v>0</v>
      </c>
      <c r="BG40" s="271">
        <f t="shared" si="19"/>
        <v>9</v>
      </c>
      <c r="BH40" s="262">
        <f t="shared" si="20"/>
        <v>1</v>
      </c>
      <c r="BI40" s="271">
        <f t="shared" si="21"/>
        <v>0</v>
      </c>
      <c r="BJ40" s="272" t="str">
        <f t="shared" si="22"/>
        <v>1</v>
      </c>
      <c r="BK40" s="269"/>
      <c r="BL40" s="267">
        <f t="shared" si="3"/>
        <v>15.3</v>
      </c>
      <c r="BM40" s="267">
        <f t="shared" si="4"/>
        <v>10</v>
      </c>
      <c r="BN40" s="267">
        <f t="shared" si="23"/>
        <v>0</v>
      </c>
      <c r="BO40" s="267">
        <f t="shared" si="24"/>
        <v>0</v>
      </c>
    </row>
    <row r="41" spans="6:67" s="253" customFormat="1" ht="15" customHeight="1" x14ac:dyDescent="0.2">
      <c r="F41" s="254" t="s">
        <v>223</v>
      </c>
      <c r="G41" s="255" t="s">
        <v>2276</v>
      </c>
      <c r="H41" s="256" t="s">
        <v>1770</v>
      </c>
      <c r="I41" s="257" t="s">
        <v>57</v>
      </c>
      <c r="J41" s="256" t="s">
        <v>2277</v>
      </c>
      <c r="K41" s="258" t="s">
        <v>2160</v>
      </c>
      <c r="L41" s="259" t="s">
        <v>2278</v>
      </c>
      <c r="M41" s="259" t="s">
        <v>2279</v>
      </c>
      <c r="N41" s="260" t="s">
        <v>56</v>
      </c>
      <c r="O41" s="261">
        <v>4.7169999999999996</v>
      </c>
      <c r="P41" s="256" t="s">
        <v>65</v>
      </c>
      <c r="Q41" s="256"/>
      <c r="R41" s="256"/>
      <c r="S41" s="262">
        <f t="shared" si="5"/>
        <v>1</v>
      </c>
      <c r="T41" s="263">
        <v>0</v>
      </c>
      <c r="U41" s="263">
        <v>0</v>
      </c>
      <c r="V41" s="263">
        <v>1</v>
      </c>
      <c r="W41" s="263">
        <v>0</v>
      </c>
      <c r="X41" s="263">
        <v>0</v>
      </c>
      <c r="Y41" s="263">
        <v>0</v>
      </c>
      <c r="Z41" s="262">
        <f t="shared" si="6"/>
        <v>1</v>
      </c>
      <c r="AA41" s="263">
        <v>0</v>
      </c>
      <c r="AB41" s="264">
        <v>0</v>
      </c>
      <c r="AC41" s="256" t="s">
        <v>2169</v>
      </c>
      <c r="AD41" s="265" t="s">
        <v>2280</v>
      </c>
      <c r="AE41" s="265" t="s">
        <v>154</v>
      </c>
      <c r="AF41" s="265" t="s">
        <v>2262</v>
      </c>
      <c r="AG41" s="266" t="s">
        <v>45</v>
      </c>
      <c r="AH41" s="265"/>
      <c r="AI41" s="265"/>
      <c r="AP41" s="267">
        <f t="shared" si="1"/>
        <v>4.7169999999999996</v>
      </c>
      <c r="AQ41" s="267">
        <f t="shared" si="2"/>
        <v>1</v>
      </c>
      <c r="AR41" s="267">
        <f t="shared" si="7"/>
        <v>0</v>
      </c>
      <c r="AS41" s="267">
        <f t="shared" si="8"/>
        <v>0</v>
      </c>
      <c r="AW41" s="268" t="str">
        <f t="shared" si="9"/>
        <v>19, 05, 2022.12.07</v>
      </c>
      <c r="AX41" s="268" t="str">
        <f t="shared" si="10"/>
        <v>23, 48, 2022.12.07</v>
      </c>
      <c r="AY41" s="269" t="str">
        <f t="shared" si="11"/>
        <v>В</v>
      </c>
      <c r="AZ41" s="270">
        <f t="shared" si="12"/>
        <v>4.7169999999999996</v>
      </c>
      <c r="BA41" s="262">
        <f t="shared" si="13"/>
        <v>1</v>
      </c>
      <c r="BB41" s="271">
        <f t="shared" si="14"/>
        <v>0</v>
      </c>
      <c r="BC41" s="271">
        <f t="shared" si="15"/>
        <v>0</v>
      </c>
      <c r="BD41" s="271">
        <f t="shared" si="16"/>
        <v>1</v>
      </c>
      <c r="BE41" s="271">
        <f t="shared" si="17"/>
        <v>0</v>
      </c>
      <c r="BF41" s="271">
        <f t="shared" si="18"/>
        <v>0</v>
      </c>
      <c r="BG41" s="271">
        <f t="shared" si="19"/>
        <v>0</v>
      </c>
      <c r="BH41" s="262">
        <f t="shared" si="20"/>
        <v>1</v>
      </c>
      <c r="BI41" s="271">
        <f t="shared" si="21"/>
        <v>0</v>
      </c>
      <c r="BJ41" s="272" t="str">
        <f t="shared" si="22"/>
        <v>1</v>
      </c>
      <c r="BK41" s="269"/>
      <c r="BL41" s="267">
        <f t="shared" si="3"/>
        <v>4.7169999999999996</v>
      </c>
      <c r="BM41" s="267">
        <f t="shared" si="4"/>
        <v>1</v>
      </c>
      <c r="BN41" s="267">
        <f t="shared" si="23"/>
        <v>0</v>
      </c>
      <c r="BO41" s="267">
        <f t="shared" si="24"/>
        <v>0</v>
      </c>
    </row>
    <row r="42" spans="6:67" s="253" customFormat="1" ht="15" customHeight="1" x14ac:dyDescent="0.2">
      <c r="F42" s="254" t="s">
        <v>223</v>
      </c>
      <c r="G42" s="255" t="s">
        <v>2281</v>
      </c>
      <c r="H42" s="256" t="s">
        <v>1770</v>
      </c>
      <c r="I42" s="257" t="s">
        <v>29</v>
      </c>
      <c r="J42" s="256" t="s">
        <v>2282</v>
      </c>
      <c r="K42" s="258" t="s">
        <v>2160</v>
      </c>
      <c r="L42" s="259" t="s">
        <v>2283</v>
      </c>
      <c r="M42" s="259" t="s">
        <v>2284</v>
      </c>
      <c r="N42" s="260" t="s">
        <v>56</v>
      </c>
      <c r="O42" s="261">
        <v>0.83299999999999996</v>
      </c>
      <c r="P42" s="256" t="s">
        <v>65</v>
      </c>
      <c r="Q42" s="256"/>
      <c r="R42" s="256"/>
      <c r="S42" s="262">
        <f t="shared" si="5"/>
        <v>6</v>
      </c>
      <c r="T42" s="263">
        <v>0</v>
      </c>
      <c r="U42" s="263">
        <v>0</v>
      </c>
      <c r="V42" s="263">
        <v>6</v>
      </c>
      <c r="W42" s="263">
        <v>0</v>
      </c>
      <c r="X42" s="263">
        <v>0</v>
      </c>
      <c r="Y42" s="263">
        <v>0</v>
      </c>
      <c r="Z42" s="262">
        <f t="shared" si="6"/>
        <v>6</v>
      </c>
      <c r="AA42" s="263">
        <v>0</v>
      </c>
      <c r="AB42" s="264">
        <v>0</v>
      </c>
      <c r="AC42" s="256" t="s">
        <v>2169</v>
      </c>
      <c r="AD42" s="265" t="s">
        <v>2285</v>
      </c>
      <c r="AE42" s="265" t="s">
        <v>122</v>
      </c>
      <c r="AF42" s="265" t="s">
        <v>2165</v>
      </c>
      <c r="AG42" s="266" t="s">
        <v>31</v>
      </c>
      <c r="AH42" s="265"/>
      <c r="AI42" s="265"/>
      <c r="AP42" s="267">
        <f t="shared" si="1"/>
        <v>0</v>
      </c>
      <c r="AQ42" s="267">
        <f t="shared" si="2"/>
        <v>0</v>
      </c>
      <c r="AR42" s="267">
        <f t="shared" si="7"/>
        <v>0</v>
      </c>
      <c r="AS42" s="267">
        <f t="shared" si="8"/>
        <v>0</v>
      </c>
      <c r="AW42" s="268" t="str">
        <f t="shared" si="9"/>
        <v>15, 40, 2022.12.17</v>
      </c>
      <c r="AX42" s="268" t="str">
        <f t="shared" si="10"/>
        <v>16, 30, 2022.12.17</v>
      </c>
      <c r="AY42" s="269" t="str">
        <f t="shared" si="11"/>
        <v>В</v>
      </c>
      <c r="AZ42" s="270">
        <f t="shared" si="12"/>
        <v>0.83299999999999996</v>
      </c>
      <c r="BA42" s="262">
        <f t="shared" si="13"/>
        <v>6</v>
      </c>
      <c r="BB42" s="271">
        <f t="shared" si="14"/>
        <v>0</v>
      </c>
      <c r="BC42" s="271">
        <f t="shared" si="15"/>
        <v>0</v>
      </c>
      <c r="BD42" s="271">
        <f t="shared" si="16"/>
        <v>6</v>
      </c>
      <c r="BE42" s="271">
        <f t="shared" si="17"/>
        <v>0</v>
      </c>
      <c r="BF42" s="271">
        <f t="shared" si="18"/>
        <v>0</v>
      </c>
      <c r="BG42" s="271">
        <f t="shared" si="19"/>
        <v>0</v>
      </c>
      <c r="BH42" s="262">
        <f t="shared" si="20"/>
        <v>6</v>
      </c>
      <c r="BI42" s="271">
        <f t="shared" si="21"/>
        <v>0</v>
      </c>
      <c r="BJ42" s="272" t="str">
        <f t="shared" si="22"/>
        <v>0</v>
      </c>
      <c r="BK42" s="269"/>
      <c r="BL42" s="267">
        <f t="shared" si="3"/>
        <v>0</v>
      </c>
      <c r="BM42" s="267">
        <f t="shared" si="4"/>
        <v>0</v>
      </c>
      <c r="BN42" s="267">
        <f t="shared" si="23"/>
        <v>0</v>
      </c>
      <c r="BO42" s="267">
        <f t="shared" si="24"/>
        <v>0</v>
      </c>
    </row>
    <row r="43" spans="6:67" s="253" customFormat="1" ht="15" customHeight="1" x14ac:dyDescent="0.2">
      <c r="F43" s="254" t="s">
        <v>223</v>
      </c>
      <c r="G43" s="255" t="s">
        <v>2286</v>
      </c>
      <c r="H43" s="256" t="s">
        <v>1770</v>
      </c>
      <c r="I43" s="257" t="s">
        <v>65</v>
      </c>
      <c r="J43" s="256" t="s">
        <v>2287</v>
      </c>
      <c r="K43" s="258" t="s">
        <v>2173</v>
      </c>
      <c r="L43" s="259" t="s">
        <v>2288</v>
      </c>
      <c r="M43" s="259" t="s">
        <v>2289</v>
      </c>
      <c r="N43" s="260" t="s">
        <v>30</v>
      </c>
      <c r="O43" s="261">
        <v>1.5</v>
      </c>
      <c r="P43" s="256" t="s">
        <v>65</v>
      </c>
      <c r="Q43" s="256"/>
      <c r="R43" s="256"/>
      <c r="S43" s="262">
        <f t="shared" si="5"/>
        <v>1</v>
      </c>
      <c r="T43" s="263">
        <v>0</v>
      </c>
      <c r="U43" s="263">
        <v>0</v>
      </c>
      <c r="V43" s="263">
        <v>1</v>
      </c>
      <c r="W43" s="263">
        <v>0</v>
      </c>
      <c r="X43" s="263">
        <v>0</v>
      </c>
      <c r="Y43" s="263">
        <v>0</v>
      </c>
      <c r="Z43" s="262">
        <f t="shared" si="6"/>
        <v>1</v>
      </c>
      <c r="AA43" s="263">
        <v>0</v>
      </c>
      <c r="AB43" s="264">
        <v>0</v>
      </c>
      <c r="AC43" s="256" t="s">
        <v>2169</v>
      </c>
      <c r="AD43" s="265" t="s">
        <v>2169</v>
      </c>
      <c r="AE43" s="265" t="s">
        <v>2169</v>
      </c>
      <c r="AF43" s="265" t="s">
        <v>2169</v>
      </c>
      <c r="AG43" s="266" t="s">
        <v>45</v>
      </c>
      <c r="AH43" s="265"/>
      <c r="AI43" s="265"/>
      <c r="AP43" s="267">
        <f t="shared" si="1"/>
        <v>0</v>
      </c>
      <c r="AQ43" s="267">
        <f t="shared" si="2"/>
        <v>0</v>
      </c>
      <c r="AR43" s="267">
        <f t="shared" si="7"/>
        <v>1.5</v>
      </c>
      <c r="AS43" s="267">
        <f t="shared" si="8"/>
        <v>1</v>
      </c>
      <c r="AW43" s="268" t="str">
        <f t="shared" si="9"/>
        <v>09, 45, 2022.12.27</v>
      </c>
      <c r="AX43" s="268" t="str">
        <f t="shared" si="10"/>
        <v>11, 15, 2022.12.27</v>
      </c>
      <c r="AY43" s="269" t="str">
        <f t="shared" si="11"/>
        <v>П</v>
      </c>
      <c r="AZ43" s="270">
        <f t="shared" si="12"/>
        <v>1.5</v>
      </c>
      <c r="BA43" s="262">
        <f t="shared" si="13"/>
        <v>1</v>
      </c>
      <c r="BB43" s="271">
        <f t="shared" si="14"/>
        <v>0</v>
      </c>
      <c r="BC43" s="271">
        <f t="shared" si="15"/>
        <v>0</v>
      </c>
      <c r="BD43" s="271">
        <f t="shared" si="16"/>
        <v>1</v>
      </c>
      <c r="BE43" s="271">
        <f t="shared" si="17"/>
        <v>0</v>
      </c>
      <c r="BF43" s="271">
        <f t="shared" si="18"/>
        <v>0</v>
      </c>
      <c r="BG43" s="271">
        <f t="shared" si="19"/>
        <v>0</v>
      </c>
      <c r="BH43" s="262">
        <f t="shared" si="20"/>
        <v>1</v>
      </c>
      <c r="BI43" s="271">
        <f t="shared" si="21"/>
        <v>0</v>
      </c>
      <c r="BJ43" s="272" t="str">
        <f t="shared" si="22"/>
        <v>1</v>
      </c>
      <c r="BK43" s="269"/>
      <c r="BL43" s="267">
        <f t="shared" si="3"/>
        <v>0</v>
      </c>
      <c r="BM43" s="267">
        <f t="shared" si="4"/>
        <v>0</v>
      </c>
      <c r="BN43" s="267">
        <f t="shared" si="23"/>
        <v>1.5</v>
      </c>
      <c r="BO43" s="267">
        <f t="shared" si="24"/>
        <v>1</v>
      </c>
    </row>
    <row r="44" spans="6:67" ht="15" hidden="1" customHeight="1" x14ac:dyDescent="0.2">
      <c r="AP44" s="61">
        <f t="shared" si="1"/>
        <v>0</v>
      </c>
      <c r="AQ44" s="61">
        <f t="shared" si="2"/>
        <v>0</v>
      </c>
      <c r="BC44" s="273"/>
      <c r="BD44" s="273"/>
      <c r="BE44" s="273"/>
      <c r="BF44" s="273"/>
      <c r="BG44" s="273"/>
      <c r="BI44" s="273"/>
      <c r="BL44">
        <f t="shared" si="3"/>
        <v>0</v>
      </c>
      <c r="BM44">
        <f t="shared" si="4"/>
        <v>0</v>
      </c>
    </row>
    <row r="45" spans="6:67" ht="15" customHeight="1" x14ac:dyDescent="0.2">
      <c r="G45" s="64"/>
      <c r="H45" s="65" t="s">
        <v>2290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8"/>
      <c r="AW45" s="69"/>
      <c r="AX45" s="66"/>
      <c r="AY45" s="66"/>
      <c r="AZ45" s="66"/>
      <c r="BA45" s="67"/>
      <c r="BB45" s="66"/>
      <c r="BC45" s="66"/>
      <c r="BD45" s="66"/>
      <c r="BE45" s="66"/>
      <c r="BF45" s="66"/>
      <c r="BG45" s="66"/>
      <c r="BH45" s="66"/>
      <c r="BI45" s="66"/>
      <c r="BJ45" s="66"/>
      <c r="BK45" s="68"/>
    </row>
    <row r="46" spans="6:67" ht="15" customHeight="1" x14ac:dyDescent="0.3">
      <c r="G46" s="48">
        <v>2</v>
      </c>
      <c r="H46" s="322" t="s">
        <v>2291</v>
      </c>
      <c r="I46" s="323"/>
      <c r="J46" s="323"/>
      <c r="K46" s="323"/>
      <c r="L46" s="323"/>
      <c r="M46" s="324"/>
      <c r="N46" s="48" t="s">
        <v>2292</v>
      </c>
      <c r="O46" s="70">
        <f>SUM(O47:O49)</f>
        <v>338.14499999999998</v>
      </c>
      <c r="P46" s="71"/>
      <c r="Q46" s="71"/>
      <c r="R46" s="71"/>
      <c r="S46" s="72">
        <f t="shared" ref="S46:AB46" si="25">SUM(S47:S49)</f>
        <v>279</v>
      </c>
      <c r="T46" s="72">
        <f t="shared" si="25"/>
        <v>0</v>
      </c>
      <c r="U46" s="72">
        <f t="shared" si="25"/>
        <v>5</v>
      </c>
      <c r="V46" s="72">
        <f t="shared" si="25"/>
        <v>260</v>
      </c>
      <c r="W46" s="72">
        <f t="shared" si="25"/>
        <v>0</v>
      </c>
      <c r="X46" s="72">
        <f t="shared" si="25"/>
        <v>0</v>
      </c>
      <c r="Y46" s="72">
        <f t="shared" si="25"/>
        <v>46</v>
      </c>
      <c r="Z46" s="72">
        <f t="shared" si="25"/>
        <v>219</v>
      </c>
      <c r="AA46" s="72">
        <f t="shared" si="25"/>
        <v>14</v>
      </c>
      <c r="AB46" s="70">
        <f t="shared" si="25"/>
        <v>0</v>
      </c>
      <c r="AC46" s="71"/>
      <c r="AD46" s="71"/>
      <c r="AE46" s="71"/>
      <c r="AF46" s="71"/>
      <c r="AG46" s="71"/>
      <c r="AH46" s="71"/>
      <c r="AI46" s="73"/>
      <c r="AW46" s="74">
        <v>2</v>
      </c>
      <c r="AX46" s="75" t="s">
        <v>2291</v>
      </c>
      <c r="AY46" s="48" t="s">
        <v>2292</v>
      </c>
      <c r="AZ46" s="70">
        <f t="shared" ref="AZ46:BI46" si="26">SUM(AZ47:AZ49)</f>
        <v>338.14499999999998</v>
      </c>
      <c r="BA46" s="72">
        <f t="shared" si="26"/>
        <v>279</v>
      </c>
      <c r="BB46" s="72">
        <f t="shared" si="26"/>
        <v>0</v>
      </c>
      <c r="BC46" s="72">
        <f t="shared" si="26"/>
        <v>5</v>
      </c>
      <c r="BD46" s="72">
        <f t="shared" si="26"/>
        <v>260</v>
      </c>
      <c r="BE46" s="72">
        <f t="shared" si="26"/>
        <v>0</v>
      </c>
      <c r="BF46" s="72">
        <f t="shared" si="26"/>
        <v>0</v>
      </c>
      <c r="BG46" s="72">
        <f t="shared" si="26"/>
        <v>46</v>
      </c>
      <c r="BH46" s="72">
        <f t="shared" si="26"/>
        <v>219</v>
      </c>
      <c r="BI46" s="72">
        <f t="shared" si="26"/>
        <v>14</v>
      </c>
      <c r="BJ46" s="71"/>
      <c r="BK46" s="50"/>
    </row>
    <row r="47" spans="6:67" ht="15" customHeight="1" x14ac:dyDescent="0.3">
      <c r="G47" s="49" t="s">
        <v>2037</v>
      </c>
      <c r="H47" s="325" t="s">
        <v>2293</v>
      </c>
      <c r="I47" s="320"/>
      <c r="J47" s="320"/>
      <c r="K47" s="320"/>
      <c r="L47" s="320"/>
      <c r="M47" s="326"/>
      <c r="N47" s="48" t="s">
        <v>30</v>
      </c>
      <c r="O47" s="70">
        <f>SUMIF($N$17:$N$45,$N47,O$17:O$45)</f>
        <v>5</v>
      </c>
      <c r="P47" s="71"/>
      <c r="Q47" s="71"/>
      <c r="R47" s="71"/>
      <c r="S47" s="72">
        <f t="shared" ref="S47:AB49" si="27">SUMIF($N$17:$N$45,$N47,S$17:S$45)</f>
        <v>2</v>
      </c>
      <c r="T47" s="72">
        <f t="shared" si="27"/>
        <v>0</v>
      </c>
      <c r="U47" s="72">
        <f t="shared" si="27"/>
        <v>0</v>
      </c>
      <c r="V47" s="72">
        <f t="shared" si="27"/>
        <v>2</v>
      </c>
      <c r="W47" s="72">
        <f t="shared" si="27"/>
        <v>0</v>
      </c>
      <c r="X47" s="72">
        <f t="shared" si="27"/>
        <v>0</v>
      </c>
      <c r="Y47" s="72">
        <f t="shared" si="27"/>
        <v>0</v>
      </c>
      <c r="Z47" s="72">
        <f t="shared" si="27"/>
        <v>2</v>
      </c>
      <c r="AA47" s="72">
        <f t="shared" si="27"/>
        <v>0</v>
      </c>
      <c r="AB47" s="70">
        <f t="shared" si="27"/>
        <v>0</v>
      </c>
      <c r="AC47" s="71"/>
      <c r="AD47" s="71"/>
      <c r="AE47" s="71"/>
      <c r="AF47" s="71"/>
      <c r="AG47" s="71"/>
      <c r="AH47" s="71"/>
      <c r="AI47" s="73"/>
      <c r="AW47" s="49" t="s">
        <v>2037</v>
      </c>
      <c r="AX47" s="75" t="s">
        <v>2293</v>
      </c>
      <c r="AY47" s="48" t="s">
        <v>30</v>
      </c>
      <c r="AZ47" s="70">
        <f t="shared" ref="AZ47:BI49" si="28">SUMIF($AY$17:$AY$45,$AY47,AZ$17:AZ$45)</f>
        <v>5</v>
      </c>
      <c r="BA47" s="72">
        <f t="shared" si="28"/>
        <v>2</v>
      </c>
      <c r="BB47" s="72">
        <f t="shared" si="28"/>
        <v>0</v>
      </c>
      <c r="BC47" s="72">
        <f t="shared" si="28"/>
        <v>0</v>
      </c>
      <c r="BD47" s="72">
        <f t="shared" si="28"/>
        <v>2</v>
      </c>
      <c r="BE47" s="72">
        <f t="shared" si="28"/>
        <v>0</v>
      </c>
      <c r="BF47" s="72">
        <f t="shared" si="28"/>
        <v>0</v>
      </c>
      <c r="BG47" s="72">
        <f t="shared" si="28"/>
        <v>0</v>
      </c>
      <c r="BH47" s="72">
        <f t="shared" si="28"/>
        <v>2</v>
      </c>
      <c r="BI47" s="72">
        <f t="shared" si="28"/>
        <v>0</v>
      </c>
      <c r="BJ47" s="71"/>
      <c r="BK47" s="50"/>
    </row>
    <row r="48" spans="6:67" ht="15" customHeight="1" x14ac:dyDescent="0.3">
      <c r="G48" s="49" t="s">
        <v>2039</v>
      </c>
      <c r="H48" s="325" t="s">
        <v>2294</v>
      </c>
      <c r="I48" s="320"/>
      <c r="J48" s="320"/>
      <c r="K48" s="320"/>
      <c r="L48" s="320"/>
      <c r="M48" s="326"/>
      <c r="N48" s="48" t="s">
        <v>44</v>
      </c>
      <c r="O48" s="70">
        <f>SUMIF($N$17:$N$45,$N48,O$17:O$45)</f>
        <v>0</v>
      </c>
      <c r="P48" s="71"/>
      <c r="Q48" s="71"/>
      <c r="R48" s="71"/>
      <c r="S48" s="72">
        <f t="shared" si="27"/>
        <v>0</v>
      </c>
      <c r="T48" s="72">
        <f t="shared" si="27"/>
        <v>0</v>
      </c>
      <c r="U48" s="72">
        <f t="shared" si="27"/>
        <v>0</v>
      </c>
      <c r="V48" s="72">
        <f t="shared" si="27"/>
        <v>0</v>
      </c>
      <c r="W48" s="72">
        <f t="shared" si="27"/>
        <v>0</v>
      </c>
      <c r="X48" s="72">
        <f t="shared" si="27"/>
        <v>0</v>
      </c>
      <c r="Y48" s="72">
        <f t="shared" si="27"/>
        <v>0</v>
      </c>
      <c r="Z48" s="72">
        <f t="shared" si="27"/>
        <v>0</v>
      </c>
      <c r="AA48" s="72">
        <f t="shared" si="27"/>
        <v>0</v>
      </c>
      <c r="AB48" s="70">
        <f t="shared" si="27"/>
        <v>0</v>
      </c>
      <c r="AC48" s="71"/>
      <c r="AD48" s="71"/>
      <c r="AE48" s="71"/>
      <c r="AF48" s="71"/>
      <c r="AG48" s="71"/>
      <c r="AH48" s="71"/>
      <c r="AI48" s="73"/>
      <c r="AW48" s="49" t="s">
        <v>2039</v>
      </c>
      <c r="AX48" s="75" t="s">
        <v>2294</v>
      </c>
      <c r="AY48" s="48" t="s">
        <v>44</v>
      </c>
      <c r="AZ48" s="70">
        <f t="shared" si="28"/>
        <v>0</v>
      </c>
      <c r="BA48" s="72">
        <f t="shared" si="28"/>
        <v>0</v>
      </c>
      <c r="BB48" s="72">
        <f t="shared" si="28"/>
        <v>0</v>
      </c>
      <c r="BC48" s="72">
        <f t="shared" si="28"/>
        <v>0</v>
      </c>
      <c r="BD48" s="72">
        <f t="shared" si="28"/>
        <v>0</v>
      </c>
      <c r="BE48" s="72">
        <f t="shared" si="28"/>
        <v>0</v>
      </c>
      <c r="BF48" s="72">
        <f t="shared" si="28"/>
        <v>0</v>
      </c>
      <c r="BG48" s="72">
        <f t="shared" si="28"/>
        <v>0</v>
      </c>
      <c r="BH48" s="72">
        <f t="shared" si="28"/>
        <v>0</v>
      </c>
      <c r="BI48" s="72">
        <f t="shared" si="28"/>
        <v>0</v>
      </c>
      <c r="BJ48" s="71"/>
      <c r="BK48" s="50"/>
    </row>
    <row r="49" spans="7:63" ht="15" customHeight="1" x14ac:dyDescent="0.3">
      <c r="G49" s="49" t="s">
        <v>2041</v>
      </c>
      <c r="H49" s="325" t="s">
        <v>2295</v>
      </c>
      <c r="I49" s="320"/>
      <c r="J49" s="320"/>
      <c r="K49" s="320"/>
      <c r="L49" s="320"/>
      <c r="M49" s="326"/>
      <c r="N49" s="48" t="s">
        <v>56</v>
      </c>
      <c r="O49" s="70">
        <f>SUMIF($N$17:$N$45,$N49,O$17:O$45)</f>
        <v>333.14499999999998</v>
      </c>
      <c r="P49" s="71"/>
      <c r="Q49" s="71"/>
      <c r="R49" s="71"/>
      <c r="S49" s="72">
        <f t="shared" si="27"/>
        <v>277</v>
      </c>
      <c r="T49" s="72">
        <f t="shared" si="27"/>
        <v>0</v>
      </c>
      <c r="U49" s="72">
        <f t="shared" si="27"/>
        <v>5</v>
      </c>
      <c r="V49" s="72">
        <f t="shared" si="27"/>
        <v>258</v>
      </c>
      <c r="W49" s="72">
        <f t="shared" si="27"/>
        <v>0</v>
      </c>
      <c r="X49" s="72">
        <f t="shared" si="27"/>
        <v>0</v>
      </c>
      <c r="Y49" s="72">
        <f t="shared" si="27"/>
        <v>46</v>
      </c>
      <c r="Z49" s="72">
        <f t="shared" si="27"/>
        <v>217</v>
      </c>
      <c r="AA49" s="72">
        <f t="shared" si="27"/>
        <v>14</v>
      </c>
      <c r="AB49" s="70">
        <f t="shared" si="27"/>
        <v>0</v>
      </c>
      <c r="AC49" s="71"/>
      <c r="AD49" s="71"/>
      <c r="AE49" s="71"/>
      <c r="AF49" s="71"/>
      <c r="AG49" s="71"/>
      <c r="AH49" s="71"/>
      <c r="AI49" s="73"/>
      <c r="AW49" s="49" t="s">
        <v>2041</v>
      </c>
      <c r="AX49" s="75" t="s">
        <v>2295</v>
      </c>
      <c r="AY49" s="48" t="s">
        <v>56</v>
      </c>
      <c r="AZ49" s="70">
        <f t="shared" si="28"/>
        <v>333.14499999999998</v>
      </c>
      <c r="BA49" s="72">
        <f t="shared" si="28"/>
        <v>277</v>
      </c>
      <c r="BB49" s="72">
        <f t="shared" si="28"/>
        <v>0</v>
      </c>
      <c r="BC49" s="72">
        <f t="shared" si="28"/>
        <v>5</v>
      </c>
      <c r="BD49" s="72">
        <f t="shared" si="28"/>
        <v>258</v>
      </c>
      <c r="BE49" s="72">
        <f t="shared" si="28"/>
        <v>0</v>
      </c>
      <c r="BF49" s="72">
        <f t="shared" si="28"/>
        <v>0</v>
      </c>
      <c r="BG49" s="72">
        <f t="shared" si="28"/>
        <v>46</v>
      </c>
      <c r="BH49" s="72">
        <f t="shared" si="28"/>
        <v>217</v>
      </c>
      <c r="BI49" s="72">
        <f t="shared" si="28"/>
        <v>14</v>
      </c>
      <c r="BJ49" s="71"/>
      <c r="BK49" s="50"/>
    </row>
    <row r="50" spans="7:63" ht="15" customHeight="1" x14ac:dyDescent="0.3">
      <c r="G50" s="49" t="s">
        <v>2088</v>
      </c>
      <c r="H50" s="325" t="s">
        <v>2296</v>
      </c>
      <c r="I50" s="320"/>
      <c r="J50" s="320"/>
      <c r="K50" s="320"/>
      <c r="L50" s="320"/>
      <c r="M50" s="326"/>
      <c r="N50" s="48" t="s">
        <v>2297</v>
      </c>
      <c r="O50" s="70">
        <f>SUMIFS(O$17:O$45,N$17:N$45,$N49,AG$17:AG$45,"1")</f>
        <v>88.763000000000005</v>
      </c>
      <c r="P50" s="71"/>
      <c r="Q50" s="71"/>
      <c r="R50" s="71"/>
      <c r="S50" s="72">
        <f>SUMIFS(S$17:S$45,N$17:N$45,$N49,AG$17:AG$45,"1")</f>
        <v>221</v>
      </c>
      <c r="T50" s="72">
        <f>SUMIFS(T$17:T$45,N$17:N$45,$N49,AG$17:AG$45,"1")</f>
        <v>0</v>
      </c>
      <c r="U50" s="72">
        <f>SUMIFS(U$17:U$45,N$17:N$45,$N49,AG$17:AG$45,"1")</f>
        <v>5</v>
      </c>
      <c r="V50" s="72">
        <f>SUMIFS(V$17:V$45,N$17:N$45,$N49,AG$17:AG$45,"1")</f>
        <v>202</v>
      </c>
      <c r="W50" s="72">
        <f>SUMIFS(W$17:W$45,N$17:N$45,$N49,AG$17:AG$45,"1")</f>
        <v>0</v>
      </c>
      <c r="X50" s="72">
        <f>SUMIFS(X$17:X$45,N$17:N$45,$N49,AG$17:AG$45,"1")</f>
        <v>0</v>
      </c>
      <c r="Y50" s="72">
        <f>SUMIFS(Y$17:Y$45,N$17:N$45,$N49,AG$17:AG$45,"1")</f>
        <v>42</v>
      </c>
      <c r="Z50" s="72">
        <f>SUMIFS(Z$17:Z$45,N$17:N$45,$N49,AG$17:AG$45,"1")</f>
        <v>165</v>
      </c>
      <c r="AA50" s="72">
        <f>SUMIFS(AA$17:AA$45,N$17:N$45,$N49,AG$17:AG$45,"1")</f>
        <v>14</v>
      </c>
      <c r="AB50" s="70">
        <f>SUMIFS(AB$17:AB$45,N$17:N$45,$N49,AG$17:AG$45,"1")</f>
        <v>0</v>
      </c>
      <c r="AC50" s="71"/>
      <c r="AD50" s="71"/>
      <c r="AE50" s="71"/>
      <c r="AF50" s="71"/>
      <c r="AG50" s="71"/>
      <c r="AH50" s="71"/>
      <c r="AI50" s="73"/>
      <c r="AW50" s="49" t="s">
        <v>2088</v>
      </c>
      <c r="AX50" s="75" t="s">
        <v>2296</v>
      </c>
      <c r="AY50" s="48" t="s">
        <v>2297</v>
      </c>
      <c r="AZ50" s="70">
        <f>SUMIF($AY$17:$AY$45,$AY50,AZ$17:AZ$45)</f>
        <v>0</v>
      </c>
      <c r="BA50" s="72">
        <f>SUMIFS(BA$17:BA$45,AV$17:AV$45,$AY49,BJ$17:BJ$45,"1")</f>
        <v>0</v>
      </c>
      <c r="BB50" s="72">
        <f>SUMIFS(BB$17:BB$45,AV$17:AV$45,$AY49,BJ$17:BJ$45,"1")</f>
        <v>0</v>
      </c>
      <c r="BC50" s="72">
        <f>SUMIFS(BC$17:BC$45,AV$17:AV$45,$AY49,BJ$17:BJ$45,"1")</f>
        <v>0</v>
      </c>
      <c r="BD50" s="72">
        <f>SUMIFS(BD$17:BD$45,AV$17:AV$45,$AY49,BJ$17:BJ$45,"1")</f>
        <v>0</v>
      </c>
      <c r="BE50" s="72">
        <f>SUMIFS(BE$17:BE$45,AV$17:AV$45,$AY49,BJ$17:BJ$45,"1")</f>
        <v>0</v>
      </c>
      <c r="BF50" s="72">
        <f>SUMIFS(BF$17:BF$45,AV$17:AV$45,$AY49,BJ$17:BJ$45,"1")</f>
        <v>0</v>
      </c>
      <c r="BG50" s="72">
        <f>SUMIFS(BG$17:BG$45,AV$17:AV$45,$AY49,BJ$17:BJ$45,"1")</f>
        <v>0</v>
      </c>
      <c r="BH50" s="72">
        <f>SUMIFS(BH$17:BH$45,AV$17:AV$45,$AY49,BJ$17:BJ$45,"1")</f>
        <v>0</v>
      </c>
      <c r="BI50" s="72">
        <f>SUMIFS(BI$17:BI$45,AV$17:AV$45,$AY49,BJ$17:BJ$45,"1")</f>
        <v>0</v>
      </c>
      <c r="BJ50" s="71"/>
      <c r="BK50" s="50"/>
    </row>
    <row r="51" spans="7:63" ht="11.25" customHeight="1" x14ac:dyDescent="0.3">
      <c r="G51" s="298"/>
      <c r="H51" s="298"/>
      <c r="I51" s="76"/>
      <c r="J51" s="298"/>
      <c r="K51" s="298"/>
      <c r="L51" s="76"/>
      <c r="M51" s="76"/>
      <c r="N51" s="76"/>
      <c r="AW51" s="76"/>
      <c r="AX51" s="76"/>
      <c r="AY51" s="76"/>
    </row>
    <row r="52" spans="7:63" ht="45" customHeight="1" x14ac:dyDescent="0.2">
      <c r="G52" s="77"/>
      <c r="H52" s="22" t="str">
        <f>IF(LEN(ruk_dol)=0,"",ruk_dol)</f>
        <v>Исполнительный директор</v>
      </c>
      <c r="I52" s="299" t="str">
        <f>IF(LEN(ruk_FIO)=0,"",ruk_FIO)</f>
        <v>Иванов Илья Николаевич</v>
      </c>
      <c r="J52" s="299"/>
    </row>
    <row r="53" spans="7:63" ht="15" customHeight="1" x14ac:dyDescent="0.3">
      <c r="H53" s="79" t="s">
        <v>1980</v>
      </c>
      <c r="I53" s="301" t="s">
        <v>2057</v>
      </c>
      <c r="J53" s="276"/>
      <c r="K53" s="79" t="s">
        <v>2058</v>
      </c>
    </row>
    <row r="56" spans="7:63" ht="15" customHeight="1" x14ac:dyDescent="0.3"/>
    <row r="57" spans="7:63" ht="11.25" customHeight="1" x14ac:dyDescent="0.3">
      <c r="G57" s="276"/>
      <c r="H57" s="276"/>
      <c r="I57" s="276"/>
      <c r="J57" s="276"/>
      <c r="K57" s="276"/>
    </row>
  </sheetData>
  <sheetProtection formatColumns="0" formatRows="0" insertRows="0" deleteColumns="0" deleteRows="0" sort="0" autoFilter="0"/>
  <mergeCells count="53">
    <mergeCell ref="BK13:BK15"/>
    <mergeCell ref="AH12:AH15"/>
    <mergeCell ref="BJ13:BJ15"/>
    <mergeCell ref="AW12:BJ12"/>
    <mergeCell ref="AW13:AW15"/>
    <mergeCell ref="AX13:AX15"/>
    <mergeCell ref="AY13:AY15"/>
    <mergeCell ref="AZ13:AZ15"/>
    <mergeCell ref="BA13:BI13"/>
    <mergeCell ref="BA14:BA15"/>
    <mergeCell ref="BB14:BD14"/>
    <mergeCell ref="BE14:BH14"/>
    <mergeCell ref="BI14:BI15"/>
    <mergeCell ref="AI12:AI15"/>
    <mergeCell ref="G51:H51"/>
    <mergeCell ref="J51:K51"/>
    <mergeCell ref="I52:J52"/>
    <mergeCell ref="I53:J53"/>
    <mergeCell ref="G57:K57"/>
    <mergeCell ref="H46:M46"/>
    <mergeCell ref="H47:M47"/>
    <mergeCell ref="H48:M48"/>
    <mergeCell ref="H49:M49"/>
    <mergeCell ref="H50:M50"/>
    <mergeCell ref="AE13:AE15"/>
    <mergeCell ref="AF13:AF15"/>
    <mergeCell ref="S14:S15"/>
    <mergeCell ref="T14:V14"/>
    <mergeCell ref="W14:Z14"/>
    <mergeCell ref="AA14:AA15"/>
    <mergeCell ref="S13:AA13"/>
    <mergeCell ref="AD13:AD15"/>
    <mergeCell ref="M13:M15"/>
    <mergeCell ref="N13:N15"/>
    <mergeCell ref="G7:H7"/>
    <mergeCell ref="O7:R7"/>
    <mergeCell ref="G10:AG10"/>
    <mergeCell ref="G12:O12"/>
    <mergeCell ref="P12:AB12"/>
    <mergeCell ref="AC12:AC15"/>
    <mergeCell ref="AD12:AF12"/>
    <mergeCell ref="AG12:AG15"/>
    <mergeCell ref="G13:G15"/>
    <mergeCell ref="AB13:AB15"/>
    <mergeCell ref="O13:O15"/>
    <mergeCell ref="P13:P15"/>
    <mergeCell ref="Q13:Q15"/>
    <mergeCell ref="R13:R15"/>
    <mergeCell ref="H13:H15"/>
    <mergeCell ref="I13:I15"/>
    <mergeCell ref="J13:J15"/>
    <mergeCell ref="K13:K15"/>
    <mergeCell ref="L13:L15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I18:I43" xr:uid="{00000000-0002-0000-0D00-000000000000}">
      <formula1>VID_OBJECT</formula1>
    </dataValidation>
    <dataValidation type="list" allowBlank="1" showInputMessage="1" showErrorMessage="1" errorTitle="Ошибка" error="Выберите значение из списка" prompt="Выберите значение из списка" sqref="N18:N43 AY18:AY43" xr:uid="{00000000-0002-0000-0D00-000001000000}">
      <formula1>VID_END_EE</formula1>
    </dataValidation>
    <dataValidation type="list" allowBlank="1" showInputMessage="1" showErrorMessage="1" errorTitle="Ошибка" error="Выберите значение из списка" sqref="AE18:AE43" xr:uid="{00000000-0002-0000-0D00-000002000000}">
      <formula1>f_8_1_ae</formula1>
    </dataValidation>
    <dataValidation type="list" allowBlank="1" showInputMessage="1" showErrorMessage="1" errorTitle="Ошибка" error="Выберите значение из списка" sqref="AG18:AG43 BJ18:BJ43" xr:uid="{00000000-0002-0000-0D00-000003000000}">
      <formula1>bln_binary</formula1>
    </dataValidation>
    <dataValidation type="list" allowBlank="1" showInputMessage="1" showErrorMessage="1" errorTitle="Ошибка" error="Выберите значение из списка" sqref="AI18:AI43" xr:uid="{00000000-0002-0000-0D00-000004000000}">
      <formula1>doc_list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2ED8-F276-94FB-0AF5-8796D20CE0F2}">
  <sheetPr>
    <tabColor theme="3" tint="0.79998168889431442"/>
  </sheetPr>
  <dimension ref="A1:S37"/>
  <sheetViews>
    <sheetView showGridLines="0" topLeftCell="F8" zoomScale="80" workbookViewId="0">
      <selection activeCell="O31" sqref="O31"/>
    </sheetView>
  </sheetViews>
  <sheetFormatPr defaultColWidth="9.109375" defaultRowHeight="11.25" customHeight="1" x14ac:dyDescent="0.3"/>
  <cols>
    <col min="1" max="4" width="21.109375" hidden="1" customWidth="1"/>
    <col min="5" max="5" width="19.109375" hidden="1" customWidth="1"/>
    <col min="6" max="6" width="4.44140625" customWidth="1"/>
    <col min="7" max="7" width="8.6640625" customWidth="1"/>
    <col min="8" max="8" width="13.109375" customWidth="1"/>
    <col min="9" max="9" width="11.5546875" customWidth="1"/>
    <col min="10" max="16" width="12.6640625" customWidth="1"/>
    <col min="17" max="17" width="22.109375" customWidth="1"/>
    <col min="18" max="18" width="99.6640625" customWidth="1"/>
    <col min="19" max="19" width="45.33203125" customWidth="1"/>
  </cols>
  <sheetData>
    <row r="1" spans="7:19" ht="11.25" hidden="1" customHeight="1" x14ac:dyDescent="0.3"/>
    <row r="2" spans="7:19" ht="11.25" hidden="1" customHeight="1" x14ac:dyDescent="0.3"/>
    <row r="3" spans="7:19" ht="11.25" hidden="1" customHeight="1" x14ac:dyDescent="0.3"/>
    <row r="4" spans="7:19" ht="11.25" hidden="1" customHeight="1" x14ac:dyDescent="0.3"/>
    <row r="5" spans="7:19" ht="11.25" hidden="1" customHeight="1" x14ac:dyDescent="0.3"/>
    <row r="6" spans="7:19" ht="11.25" hidden="1" customHeight="1" x14ac:dyDescent="0.3"/>
    <row r="7" spans="7:19" ht="73.5" hidden="1" customHeight="1" x14ac:dyDescent="0.3">
      <c r="G7" s="276"/>
      <c r="H7" s="276"/>
      <c r="I7" s="276"/>
      <c r="J7" s="276"/>
      <c r="K7" s="276"/>
      <c r="L7" s="276"/>
    </row>
    <row r="9" spans="7:19" ht="10.5" customHeight="1" x14ac:dyDescent="0.3"/>
    <row r="10" spans="7:19" ht="24.75" customHeight="1" x14ac:dyDescent="0.3">
      <c r="G10" s="326" t="s">
        <v>2298</v>
      </c>
      <c r="H10" s="331"/>
      <c r="I10" s="331"/>
      <c r="J10" s="331"/>
      <c r="K10" s="331"/>
      <c r="L10" s="331"/>
      <c r="M10" s="331"/>
      <c r="N10" s="331"/>
      <c r="O10" s="331"/>
      <c r="P10" s="331"/>
      <c r="Q10" s="325"/>
    </row>
    <row r="11" spans="7:19" ht="5.25" customHeight="1" x14ac:dyDescent="0.3"/>
    <row r="12" spans="7:19" ht="20.25" customHeight="1" x14ac:dyDescent="0.3">
      <c r="G12" s="317" t="s">
        <v>2299</v>
      </c>
      <c r="H12" s="332" t="s">
        <v>2300</v>
      </c>
      <c r="I12" s="337" t="str">
        <f>IF(region_name="Ульяновская область","за "&amp;FIRST_PERIOD_IN_FACT&amp;" год","")</f>
        <v/>
      </c>
      <c r="J12" s="293"/>
      <c r="K12" s="293"/>
      <c r="L12" s="293"/>
      <c r="M12" s="293"/>
      <c r="N12" s="293"/>
      <c r="O12" s="293"/>
      <c r="P12" s="293"/>
      <c r="Q12" s="293"/>
      <c r="R12" s="317" t="s">
        <v>2301</v>
      </c>
      <c r="S12" s="338" t="s">
        <v>2302</v>
      </c>
    </row>
    <row r="13" spans="7:19" ht="30" customHeight="1" x14ac:dyDescent="0.3">
      <c r="G13" s="317"/>
      <c r="H13" s="333"/>
      <c r="I13" s="337" t="s">
        <v>2303</v>
      </c>
      <c r="J13" s="293"/>
      <c r="K13" s="293"/>
      <c r="L13" s="293"/>
      <c r="M13" s="293"/>
      <c r="N13" s="293"/>
      <c r="O13" s="293"/>
      <c r="P13" s="293"/>
      <c r="Q13" s="293"/>
      <c r="R13" s="317"/>
      <c r="S13" s="338"/>
    </row>
    <row r="14" spans="7:19" ht="30" customHeight="1" x14ac:dyDescent="0.3">
      <c r="G14" s="317"/>
      <c r="H14" s="333"/>
      <c r="I14" s="308" t="s">
        <v>2146</v>
      </c>
      <c r="J14" s="308" t="s">
        <v>2147</v>
      </c>
      <c r="K14" s="308"/>
      <c r="L14" s="308"/>
      <c r="M14" s="308" t="s">
        <v>2304</v>
      </c>
      <c r="N14" s="308"/>
      <c r="O14" s="308"/>
      <c r="P14" s="308"/>
      <c r="Q14" s="335" t="s">
        <v>2149</v>
      </c>
      <c r="R14" s="317"/>
      <c r="S14" s="338"/>
    </row>
    <row r="15" spans="7:19" ht="26.25" customHeight="1" x14ac:dyDescent="0.3">
      <c r="G15" s="317"/>
      <c r="H15" s="334"/>
      <c r="I15" s="317"/>
      <c r="J15" s="82" t="s">
        <v>2305</v>
      </c>
      <c r="K15" s="82" t="s">
        <v>2306</v>
      </c>
      <c r="L15" s="82" t="s">
        <v>2307</v>
      </c>
      <c r="M15" s="82" t="s">
        <v>2153</v>
      </c>
      <c r="N15" s="82" t="s">
        <v>2154</v>
      </c>
      <c r="O15" s="82" t="s">
        <v>2155</v>
      </c>
      <c r="P15" s="82" t="s">
        <v>2308</v>
      </c>
      <c r="Q15" s="336"/>
      <c r="R15" s="309"/>
      <c r="S15" s="339"/>
    </row>
    <row r="16" spans="7:19" ht="18.75" customHeight="1" x14ac:dyDescent="0.3">
      <c r="G16" s="83" t="s">
        <v>31</v>
      </c>
      <c r="H16" s="84" t="s">
        <v>2309</v>
      </c>
      <c r="I16" s="262">
        <f>MAX(I17:I28)</f>
        <v>293</v>
      </c>
      <c r="J16" s="85"/>
      <c r="K16" s="85"/>
      <c r="L16" s="85"/>
      <c r="M16" s="72">
        <f>INDEX(M17:M28,MATCH(I16,I17:I28,0),1)</f>
        <v>0</v>
      </c>
      <c r="N16" s="72">
        <f>INDEX(N17:N28,MATCH(I16,I17:I28,0),1)</f>
        <v>0</v>
      </c>
      <c r="O16" s="72">
        <f>INDEX(O17:O28,MATCH(I16,I17:I28,0),1)</f>
        <v>20</v>
      </c>
      <c r="P16" s="72">
        <f>INDEX(P17:P28,MATCH(I16,I17:I28,0),1)</f>
        <v>273</v>
      </c>
      <c r="Q16" s="85"/>
      <c r="R16" s="86"/>
      <c r="S16" s="340" t="s">
        <v>2310</v>
      </c>
    </row>
    <row r="17" spans="7:19" ht="18.75" customHeight="1" x14ac:dyDescent="0.3">
      <c r="G17" s="83" t="s">
        <v>45</v>
      </c>
      <c r="H17" s="84" t="s">
        <v>2311</v>
      </c>
      <c r="I17" s="87">
        <f t="shared" ref="I17:I28" si="0">J17+K17+L17+Q17</f>
        <v>293</v>
      </c>
      <c r="J17" s="88">
        <v>0</v>
      </c>
      <c r="K17" s="88">
        <v>20</v>
      </c>
      <c r="L17" s="88">
        <v>273</v>
      </c>
      <c r="M17" s="88">
        <v>0</v>
      </c>
      <c r="N17" s="88">
        <v>0</v>
      </c>
      <c r="O17" s="88">
        <v>20</v>
      </c>
      <c r="P17" s="72">
        <f t="shared" ref="P17:P28" si="1">I17-M17-N17-O17</f>
        <v>273</v>
      </c>
      <c r="Q17" s="88">
        <v>0</v>
      </c>
      <c r="R17" s="274" t="s">
        <v>2312</v>
      </c>
      <c r="S17" s="340"/>
    </row>
    <row r="18" spans="7:19" ht="18.75" customHeight="1" x14ac:dyDescent="0.3">
      <c r="G18" s="83" t="s">
        <v>2035</v>
      </c>
      <c r="H18" s="84" t="s">
        <v>2313</v>
      </c>
      <c r="I18" s="87">
        <f t="shared" si="0"/>
        <v>293</v>
      </c>
      <c r="J18" s="88">
        <v>0</v>
      </c>
      <c r="K18" s="88">
        <v>20</v>
      </c>
      <c r="L18" s="88">
        <v>273</v>
      </c>
      <c r="M18" s="88">
        <v>0</v>
      </c>
      <c r="N18" s="88">
        <v>0</v>
      </c>
      <c r="O18" s="88">
        <v>20</v>
      </c>
      <c r="P18" s="72">
        <f t="shared" si="1"/>
        <v>273</v>
      </c>
      <c r="Q18" s="88">
        <v>0</v>
      </c>
      <c r="R18" s="274" t="s">
        <v>2314</v>
      </c>
      <c r="S18" s="340"/>
    </row>
    <row r="19" spans="7:19" ht="18.75" customHeight="1" x14ac:dyDescent="0.3">
      <c r="G19" s="83" t="s">
        <v>165</v>
      </c>
      <c r="H19" s="84" t="s">
        <v>2315</v>
      </c>
      <c r="I19" s="87">
        <f t="shared" si="0"/>
        <v>293</v>
      </c>
      <c r="J19" s="88">
        <v>0</v>
      </c>
      <c r="K19" s="88">
        <v>20</v>
      </c>
      <c r="L19" s="88">
        <v>273</v>
      </c>
      <c r="M19" s="88">
        <v>0</v>
      </c>
      <c r="N19" s="88">
        <v>0</v>
      </c>
      <c r="O19" s="88">
        <v>20</v>
      </c>
      <c r="P19" s="72">
        <f t="shared" si="1"/>
        <v>273</v>
      </c>
      <c r="Q19" s="88">
        <v>0</v>
      </c>
      <c r="R19" s="274" t="s">
        <v>2316</v>
      </c>
      <c r="S19" s="340"/>
    </row>
    <row r="20" spans="7:19" ht="18.75" customHeight="1" x14ac:dyDescent="0.3">
      <c r="G20" s="83" t="s">
        <v>167</v>
      </c>
      <c r="H20" s="84" t="s">
        <v>2317</v>
      </c>
      <c r="I20" s="87">
        <f t="shared" si="0"/>
        <v>293</v>
      </c>
      <c r="J20" s="88">
        <v>0</v>
      </c>
      <c r="K20" s="88">
        <v>20</v>
      </c>
      <c r="L20" s="88">
        <v>273</v>
      </c>
      <c r="M20" s="88">
        <v>0</v>
      </c>
      <c r="N20" s="88">
        <v>0</v>
      </c>
      <c r="O20" s="88">
        <v>20</v>
      </c>
      <c r="P20" s="72">
        <f t="shared" si="1"/>
        <v>273</v>
      </c>
      <c r="Q20" s="88">
        <v>0</v>
      </c>
      <c r="R20" s="274" t="s">
        <v>2318</v>
      </c>
      <c r="S20" s="340"/>
    </row>
    <row r="21" spans="7:19" ht="18.75" customHeight="1" x14ac:dyDescent="0.3">
      <c r="G21" s="83" t="s">
        <v>170</v>
      </c>
      <c r="H21" s="84" t="s">
        <v>2319</v>
      </c>
      <c r="I21" s="87">
        <f t="shared" si="0"/>
        <v>293</v>
      </c>
      <c r="J21" s="88">
        <v>0</v>
      </c>
      <c r="K21" s="88">
        <v>20</v>
      </c>
      <c r="L21" s="88">
        <v>273</v>
      </c>
      <c r="M21" s="88">
        <v>0</v>
      </c>
      <c r="N21" s="88">
        <v>0</v>
      </c>
      <c r="O21" s="88">
        <v>20</v>
      </c>
      <c r="P21" s="72">
        <f t="shared" si="1"/>
        <v>273</v>
      </c>
      <c r="Q21" s="88">
        <v>0</v>
      </c>
      <c r="R21" s="274" t="s">
        <v>2320</v>
      </c>
      <c r="S21" s="340"/>
    </row>
    <row r="22" spans="7:19" ht="18.75" customHeight="1" x14ac:dyDescent="0.3">
      <c r="G22" s="83" t="s">
        <v>2049</v>
      </c>
      <c r="H22" s="84" t="s">
        <v>2321</v>
      </c>
      <c r="I22" s="87">
        <f t="shared" si="0"/>
        <v>293</v>
      </c>
      <c r="J22" s="88">
        <v>0</v>
      </c>
      <c r="K22" s="88">
        <v>20</v>
      </c>
      <c r="L22" s="88">
        <v>273</v>
      </c>
      <c r="M22" s="88">
        <v>0</v>
      </c>
      <c r="N22" s="88">
        <v>0</v>
      </c>
      <c r="O22" s="88">
        <v>20</v>
      </c>
      <c r="P22" s="72">
        <f t="shared" si="1"/>
        <v>273</v>
      </c>
      <c r="Q22" s="88">
        <v>0</v>
      </c>
      <c r="R22" s="274" t="s">
        <v>2322</v>
      </c>
      <c r="S22" s="340"/>
    </row>
    <row r="23" spans="7:19" ht="18.75" customHeight="1" x14ac:dyDescent="0.3">
      <c r="G23" s="83" t="s">
        <v>2055</v>
      </c>
      <c r="H23" s="84" t="s">
        <v>2323</v>
      </c>
      <c r="I23" s="87">
        <f t="shared" si="0"/>
        <v>293</v>
      </c>
      <c r="J23" s="88">
        <v>0</v>
      </c>
      <c r="K23" s="88">
        <v>20</v>
      </c>
      <c r="L23" s="88">
        <v>273</v>
      </c>
      <c r="M23" s="88">
        <v>0</v>
      </c>
      <c r="N23" s="88">
        <v>0</v>
      </c>
      <c r="O23" s="88">
        <v>20</v>
      </c>
      <c r="P23" s="72">
        <f t="shared" si="1"/>
        <v>273</v>
      </c>
      <c r="Q23" s="88">
        <v>0</v>
      </c>
      <c r="R23" s="274" t="s">
        <v>2324</v>
      </c>
      <c r="S23" s="340"/>
    </row>
    <row r="24" spans="7:19" ht="18.75" customHeight="1" x14ac:dyDescent="0.3">
      <c r="G24" s="83" t="s">
        <v>2325</v>
      </c>
      <c r="H24" s="84" t="s">
        <v>2326</v>
      </c>
      <c r="I24" s="87">
        <f t="shared" si="0"/>
        <v>293</v>
      </c>
      <c r="J24" s="88">
        <v>0</v>
      </c>
      <c r="K24" s="88">
        <v>20</v>
      </c>
      <c r="L24" s="88">
        <v>273</v>
      </c>
      <c r="M24" s="88">
        <v>0</v>
      </c>
      <c r="N24" s="88">
        <v>0</v>
      </c>
      <c r="O24" s="88">
        <v>20</v>
      </c>
      <c r="P24" s="72">
        <f t="shared" si="1"/>
        <v>273</v>
      </c>
      <c r="Q24" s="88">
        <v>0</v>
      </c>
      <c r="R24" s="274" t="s">
        <v>2327</v>
      </c>
      <c r="S24" s="340"/>
    </row>
    <row r="25" spans="7:19" ht="18.75" customHeight="1" x14ac:dyDescent="0.3">
      <c r="G25" s="83" t="s">
        <v>2328</v>
      </c>
      <c r="H25" s="84" t="s">
        <v>2329</v>
      </c>
      <c r="I25" s="87">
        <f t="shared" si="0"/>
        <v>293</v>
      </c>
      <c r="J25" s="88">
        <v>0</v>
      </c>
      <c r="K25" s="88">
        <v>20</v>
      </c>
      <c r="L25" s="88">
        <v>273</v>
      </c>
      <c r="M25" s="88">
        <v>0</v>
      </c>
      <c r="N25" s="88">
        <v>0</v>
      </c>
      <c r="O25" s="88">
        <v>20</v>
      </c>
      <c r="P25" s="72">
        <f t="shared" si="1"/>
        <v>273</v>
      </c>
      <c r="Q25" s="88">
        <v>0</v>
      </c>
      <c r="R25" s="274" t="s">
        <v>2330</v>
      </c>
      <c r="S25" s="340"/>
    </row>
    <row r="26" spans="7:19" ht="18.75" customHeight="1" x14ac:dyDescent="0.3">
      <c r="G26" s="83" t="s">
        <v>2331</v>
      </c>
      <c r="H26" s="84" t="s">
        <v>2332</v>
      </c>
      <c r="I26" s="87">
        <f t="shared" si="0"/>
        <v>293</v>
      </c>
      <c r="J26" s="88">
        <v>0</v>
      </c>
      <c r="K26" s="88">
        <v>20</v>
      </c>
      <c r="L26" s="88">
        <v>273</v>
      </c>
      <c r="M26" s="88">
        <v>0</v>
      </c>
      <c r="N26" s="88">
        <v>0</v>
      </c>
      <c r="O26" s="88">
        <v>20</v>
      </c>
      <c r="P26" s="72">
        <f t="shared" si="1"/>
        <v>273</v>
      </c>
      <c r="Q26" s="88">
        <v>0</v>
      </c>
      <c r="R26" s="274" t="s">
        <v>2333</v>
      </c>
      <c r="S26" s="340"/>
    </row>
    <row r="27" spans="7:19" ht="18.75" customHeight="1" x14ac:dyDescent="0.3">
      <c r="G27" s="83" t="s">
        <v>2144</v>
      </c>
      <c r="H27" s="84" t="s">
        <v>2334</v>
      </c>
      <c r="I27" s="87">
        <f t="shared" si="0"/>
        <v>293</v>
      </c>
      <c r="J27" s="88">
        <v>0</v>
      </c>
      <c r="K27" s="88">
        <v>20</v>
      </c>
      <c r="L27" s="88">
        <v>273</v>
      </c>
      <c r="M27" s="88">
        <v>0</v>
      </c>
      <c r="N27" s="88">
        <v>0</v>
      </c>
      <c r="O27" s="88">
        <v>20</v>
      </c>
      <c r="P27" s="72">
        <f t="shared" si="1"/>
        <v>273</v>
      </c>
      <c r="Q27" s="88">
        <v>0</v>
      </c>
      <c r="R27" s="274" t="s">
        <v>2335</v>
      </c>
      <c r="S27" s="340"/>
    </row>
    <row r="28" spans="7:19" ht="18.75" customHeight="1" x14ac:dyDescent="0.3">
      <c r="G28" s="83" t="s">
        <v>2145</v>
      </c>
      <c r="H28" s="84" t="s">
        <v>2336</v>
      </c>
      <c r="I28" s="87">
        <f t="shared" si="0"/>
        <v>293</v>
      </c>
      <c r="J28" s="88">
        <v>0</v>
      </c>
      <c r="K28" s="88">
        <v>20</v>
      </c>
      <c r="L28" s="88">
        <v>273</v>
      </c>
      <c r="M28" s="88">
        <v>0</v>
      </c>
      <c r="N28" s="88">
        <v>0</v>
      </c>
      <c r="O28" s="88">
        <v>20</v>
      </c>
      <c r="P28" s="72">
        <f t="shared" si="1"/>
        <v>273</v>
      </c>
      <c r="Q28" s="88">
        <v>0</v>
      </c>
      <c r="R28" s="274" t="s">
        <v>2337</v>
      </c>
      <c r="S28" s="340"/>
    </row>
    <row r="29" spans="7:19" ht="11.25" customHeight="1" x14ac:dyDescent="0.3">
      <c r="G29" s="89"/>
      <c r="H29" s="89"/>
    </row>
    <row r="30" spans="7:19" ht="45" customHeight="1" x14ac:dyDescent="0.3">
      <c r="G30" s="77"/>
    </row>
    <row r="31" spans="7:19" ht="15" customHeight="1" x14ac:dyDescent="0.3"/>
    <row r="34" spans="7:8" ht="15" customHeight="1" x14ac:dyDescent="0.3"/>
    <row r="35" spans="7:8" ht="11.25" customHeight="1" x14ac:dyDescent="0.3">
      <c r="G35" s="276"/>
      <c r="H35" s="276"/>
    </row>
    <row r="36" spans="7:8" ht="16.5" customHeight="1" x14ac:dyDescent="0.3">
      <c r="G36" s="276"/>
      <c r="H36" s="276"/>
    </row>
    <row r="37" spans="7:8" ht="24" customHeight="1" x14ac:dyDescent="0.3"/>
  </sheetData>
  <sheetProtection formatColumns="0" formatRows="0" insertRows="0" deleteColumns="0" deleteRows="0" sort="0" autoFilter="0"/>
  <mergeCells count="16">
    <mergeCell ref="G35:H35"/>
    <mergeCell ref="G36:H36"/>
    <mergeCell ref="S12:S15"/>
    <mergeCell ref="R12:R15"/>
    <mergeCell ref="S16:S28"/>
    <mergeCell ref="G7:H7"/>
    <mergeCell ref="I7:L7"/>
    <mergeCell ref="G10:Q10"/>
    <mergeCell ref="G12:G15"/>
    <mergeCell ref="H12:H15"/>
    <mergeCell ref="J14:L14"/>
    <mergeCell ref="M14:P14"/>
    <mergeCell ref="Q14:Q15"/>
    <mergeCell ref="I12:Q12"/>
    <mergeCell ref="I13:Q13"/>
    <mergeCell ref="I14:I1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R17:R28" xr:uid="{00000000-0002-0000-0E00-000000000000}">
      <formula1>900</formula1>
    </dataValidation>
    <dataValidation type="whole" allowBlank="1" showErrorMessage="1" errorTitle="Ошибка" error="Допускается ввод только неотрицательных целых чисел!" sqref="I16:Q28" xr:uid="{00000000-0002-0000-0E00-00000C000000}">
      <formula1>0</formula1>
      <formula2>9.99999999999999E+23</formula2>
    </dataValidation>
  </dataValidations>
  <hyperlinks>
    <hyperlink ref="R17" r:id="rId1" xr:uid="{43C3E1F4-22E2-C887-3CE2-39E339D35B63}"/>
    <hyperlink ref="R18" r:id="rId2" xr:uid="{F73FBE6A-7441-F896-005F-CEA0469AF9B9}"/>
    <hyperlink ref="R19" r:id="rId3" xr:uid="{F2BEDE36-07F3-D754-15D2-278437AF67DD}"/>
    <hyperlink ref="R20" r:id="rId4" xr:uid="{FE4ED134-5C9A-C826-A549-4F4053376A66}"/>
    <hyperlink ref="R21" r:id="rId5" xr:uid="{1D243963-259A-A3F2-23A2-BE16F09C6758}"/>
    <hyperlink ref="R22" r:id="rId6" xr:uid="{C9A1DB98-6A07-B91E-07B5-73B63E759B0B}"/>
    <hyperlink ref="R23" r:id="rId7" xr:uid="{290BC4E5-084C-EDD8-5F75-8A02DADB9992}"/>
    <hyperlink ref="R24" r:id="rId8" xr:uid="{926E28DD-4F3C-987C-6EAE-119F0BE7B90C}"/>
    <hyperlink ref="R25" r:id="rId9" xr:uid="{C66C1D39-95B8-3124-4848-5E349AEA246B}"/>
    <hyperlink ref="R26" r:id="rId10" xr:uid="{A27A0EBA-26B6-13A5-28AB-0AFCDDD4D407}"/>
    <hyperlink ref="R27" r:id="rId11" xr:uid="{7645875F-3CA5-4951-BD58-5EE581BC42AF}"/>
    <hyperlink ref="R28" r:id="rId12" xr:uid="{4AFD8733-E7C4-5A71-2CDF-036E0558F99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FA555-F0B3-A825-DE41-65E108EF5B35}">
  <sheetPr>
    <tabColor theme="3" tint="0.79998168889431442"/>
  </sheetPr>
  <dimension ref="A1:K28"/>
  <sheetViews>
    <sheetView showGridLines="0" topLeftCell="F9" workbookViewId="0">
      <selection activeCell="O28" sqref="O28"/>
    </sheetView>
  </sheetViews>
  <sheetFormatPr defaultColWidth="9.109375" defaultRowHeight="11.25" customHeight="1" x14ac:dyDescent="0.3"/>
  <cols>
    <col min="1" max="5" width="8.6640625" hidden="1" customWidth="1"/>
    <col min="6" max="6" width="3.6640625" customWidth="1"/>
    <col min="7" max="7" width="7.5546875" customWidth="1"/>
    <col min="8" max="8" width="57.44140625" customWidth="1"/>
    <col min="9" max="9" width="13" customWidth="1"/>
    <col min="10" max="10" width="15.6640625" hidden="1" customWidth="1"/>
  </cols>
  <sheetData>
    <row r="1" spans="7:11" ht="17.25" hidden="1" customHeight="1" x14ac:dyDescent="0.3">
      <c r="J1" s="212" t="b">
        <f>REPORT_OWNER="Версия регулятора"</f>
        <v>0</v>
      </c>
    </row>
    <row r="2" spans="7:11" ht="17.25" hidden="1" customHeight="1" x14ac:dyDescent="0.3"/>
    <row r="3" spans="7:11" ht="17.25" hidden="1" customHeight="1" x14ac:dyDescent="0.3"/>
    <row r="4" spans="7:11" ht="17.25" hidden="1" customHeight="1" x14ac:dyDescent="0.3"/>
    <row r="5" spans="7:11" ht="17.25" hidden="1" customHeight="1" x14ac:dyDescent="0.3"/>
    <row r="6" spans="7:11" ht="17.25" hidden="1" customHeight="1" x14ac:dyDescent="0.3"/>
    <row r="7" spans="7:11" ht="17.25" hidden="1" customHeight="1" x14ac:dyDescent="0.3"/>
    <row r="8" spans="7:11" ht="17.25" hidden="1" customHeight="1" x14ac:dyDescent="0.3"/>
    <row r="9" spans="7:11" ht="2.25" customHeight="1" x14ac:dyDescent="0.3"/>
    <row r="10" spans="7:11" ht="40.5" customHeight="1" x14ac:dyDescent="0.3">
      <c r="G10" s="326" t="s">
        <v>2338</v>
      </c>
      <c r="H10" s="331"/>
      <c r="I10" s="325"/>
    </row>
    <row r="11" spans="7:11" ht="5.25" customHeight="1" x14ac:dyDescent="0.3"/>
    <row r="12" spans="7:11" ht="36" customHeight="1" x14ac:dyDescent="0.3">
      <c r="G12" s="49" t="s">
        <v>2112</v>
      </c>
      <c r="H12" s="49" t="s">
        <v>2113</v>
      </c>
      <c r="I12" s="48" t="str">
        <f>IF(FIRST_PERIOD_IN_FACT="","Не определено",FIRST_PERIOD_IN_FACT)&amp;" год"</f>
        <v>2022 год</v>
      </c>
      <c r="J12" s="209" t="str">
        <f>IF(FIRST_PERIOD_IN_FACT="","Не определено",FIRST_PERIOD_IN_FACT)&amp;" год"</f>
        <v>2022 год</v>
      </c>
    </row>
    <row r="13" spans="7:11" ht="1.5" customHeight="1" x14ac:dyDescent="0.3"/>
    <row r="14" spans="7:11" ht="5.25" hidden="1" customHeight="1" x14ac:dyDescent="0.3"/>
    <row r="15" spans="7:11" ht="35.25" customHeight="1" x14ac:dyDescent="0.3">
      <c r="G15" s="49" t="s">
        <v>45</v>
      </c>
      <c r="H15" s="148" t="s">
        <v>2339</v>
      </c>
      <c r="I15" s="72">
        <f>SUM(I16:I19)</f>
        <v>293</v>
      </c>
      <c r="J15" s="72">
        <f>SUM(J16:J19)</f>
        <v>293</v>
      </c>
      <c r="K15" s="213"/>
    </row>
    <row r="16" spans="7:11" ht="15" customHeight="1" x14ac:dyDescent="0.3">
      <c r="G16" s="49" t="s">
        <v>225</v>
      </c>
      <c r="H16" s="84" t="s">
        <v>2153</v>
      </c>
      <c r="I16" s="72">
        <f>'ф.8.1.1 Ведомость_свод'!M16</f>
        <v>0</v>
      </c>
      <c r="J16" s="144">
        <f>I16</f>
        <v>0</v>
      </c>
      <c r="K16" s="213"/>
    </row>
    <row r="17" spans="7:10" ht="15" customHeight="1" x14ac:dyDescent="0.3">
      <c r="G17" s="49" t="s">
        <v>2024</v>
      </c>
      <c r="H17" s="84" t="s">
        <v>2154</v>
      </c>
      <c r="I17" s="72">
        <f>'ф.8.1.1 Ведомость_свод'!N16</f>
        <v>0</v>
      </c>
      <c r="J17" s="144">
        <f>I17</f>
        <v>0</v>
      </c>
    </row>
    <row r="18" spans="7:10" ht="15" customHeight="1" x14ac:dyDescent="0.3">
      <c r="G18" s="49" t="s">
        <v>2069</v>
      </c>
      <c r="H18" s="84" t="s">
        <v>2155</v>
      </c>
      <c r="I18" s="72">
        <f>'ф.8.1.1 Ведомость_свод'!O16</f>
        <v>20</v>
      </c>
      <c r="J18" s="144">
        <f>I18</f>
        <v>20</v>
      </c>
    </row>
    <row r="19" spans="7:10" ht="15" customHeight="1" x14ac:dyDescent="0.3">
      <c r="G19" s="49" t="s">
        <v>2178</v>
      </c>
      <c r="H19" s="84" t="s">
        <v>2308</v>
      </c>
      <c r="I19" s="72">
        <f>'ф.8.1.1 Ведомость_свод'!P16</f>
        <v>273</v>
      </c>
      <c r="J19" s="144">
        <f>I19</f>
        <v>273</v>
      </c>
    </row>
    <row r="20" spans="7:10" ht="25.5" customHeight="1" x14ac:dyDescent="0.3">
      <c r="G20" s="49" t="s">
        <v>2035</v>
      </c>
      <c r="H20" s="148" t="s">
        <v>2340</v>
      </c>
      <c r="I20" s="211">
        <f>IF(I15=0,0,SUM('ф.8.1 Журнал учета'!AP17:AP44)/I15)</f>
        <v>4.6394982935153584</v>
      </c>
      <c r="J20" s="211">
        <f>IF(J15=0,0,SUM('ф.8.1 Журнал учета'!BL17:BL44)/J15)</f>
        <v>4.6394982935153584</v>
      </c>
    </row>
    <row r="21" spans="7:10" ht="25.5" customHeight="1" x14ac:dyDescent="0.3">
      <c r="G21" s="49" t="s">
        <v>165</v>
      </c>
      <c r="H21" s="148" t="s">
        <v>2341</v>
      </c>
      <c r="I21" s="211">
        <f>IF(I15=0,0,SUM('ф.8.1 Журнал учета'!AQ17:AQ44)/I15)</f>
        <v>0.75426621160409557</v>
      </c>
      <c r="J21" s="211">
        <f>IF(J15=0,0,SUM('ф.8.1 Журнал учета'!BM17:BM44)/J15)</f>
        <v>0.75426621160409557</v>
      </c>
    </row>
    <row r="22" spans="7:10" ht="35.25" customHeight="1" x14ac:dyDescent="0.3">
      <c r="G22" s="49" t="s">
        <v>167</v>
      </c>
      <c r="H22" s="148" t="s">
        <v>2342</v>
      </c>
      <c r="I22" s="211">
        <f>IF(I15=0,0,SUM('ф.8.1 Журнал учета'!AR17:AR44)/I15)</f>
        <v>8.5324232081911266E-3</v>
      </c>
      <c r="J22" s="211">
        <f>IF(J15=0,0,SUM('ф.8.1 Журнал учета'!BN17:BN44)/J15)</f>
        <v>8.5324232081911266E-3</v>
      </c>
    </row>
    <row r="23" spans="7:10" ht="25.5" customHeight="1" x14ac:dyDescent="0.3">
      <c r="G23" s="49" t="s">
        <v>170</v>
      </c>
      <c r="H23" s="148" t="s">
        <v>2343</v>
      </c>
      <c r="I23" s="211">
        <f>IF(I15=0,0,SUM('ф.8.1 Журнал учета'!AS17:AS44)/I15)</f>
        <v>6.8259385665529011E-3</v>
      </c>
      <c r="J23" s="211">
        <f>IF(J15=0,0,SUM('ф.8.1 Журнал учета'!BO17:BO44)/J15)</f>
        <v>6.8259385665529011E-3</v>
      </c>
    </row>
    <row r="24" spans="7:10" ht="11.25" customHeight="1" x14ac:dyDescent="0.3">
      <c r="G24" s="276"/>
      <c r="H24" s="276"/>
    </row>
    <row r="25" spans="7:10" ht="45" customHeight="1" x14ac:dyDescent="0.2">
      <c r="G25" s="77"/>
      <c r="H25" s="22" t="str">
        <f>IF(LEN(ruk_dol)=0,"",ruk_dol)</f>
        <v>Исполнительный директор</v>
      </c>
      <c r="I25" s="214" t="str">
        <f>IF(LEN(ruk_FIO)=0,"",ruk_FIO)</f>
        <v>Иванов Илья Николаевич</v>
      </c>
    </row>
    <row r="26" spans="7:10" ht="15" customHeight="1" x14ac:dyDescent="0.3">
      <c r="H26" s="79" t="s">
        <v>1980</v>
      </c>
      <c r="I26" s="215" t="s">
        <v>2057</v>
      </c>
      <c r="J26" s="79" t="s">
        <v>2058</v>
      </c>
    </row>
    <row r="28" spans="7:10" ht="11.25" customHeight="1" x14ac:dyDescent="0.3">
      <c r="G28" s="276"/>
      <c r="H28" s="276"/>
    </row>
  </sheetData>
  <sheetProtection formatColumns="0" formatRows="0" insertRows="0" deleteColumns="0" deleteRows="0" sort="0" autoFilter="0"/>
  <mergeCells count="3">
    <mergeCell ref="G10:I10"/>
    <mergeCell ref="G24:H24"/>
    <mergeCell ref="G28:H28"/>
  </mergeCells>
  <dataValidations count="2">
    <dataValidation type="whole" allowBlank="1" showErrorMessage="1" errorTitle="Ошибка" error="Допускается ввод только неотрицательных целых чисел!" sqref="I15:J19" xr:uid="{00000000-0002-0000-0F00-000000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6 H22 H19" xr:uid="{00000000-0002-0000-0F00-00000A000000}">
      <formula1>900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9259-C516-FEF3-4CC9-EFC32689F6B8}">
  <sheetPr>
    <tabColor theme="3" tint="0.79998168889431442"/>
  </sheetPr>
  <dimension ref="A1:O37"/>
  <sheetViews>
    <sheetView showGridLines="0" topLeftCell="F6" workbookViewId="0">
      <selection activeCell="M28" sqref="M28"/>
    </sheetView>
  </sheetViews>
  <sheetFormatPr defaultColWidth="9.109375" defaultRowHeight="11.25" customHeight="1" x14ac:dyDescent="0.3"/>
  <cols>
    <col min="1" max="5" width="9.109375" hidden="1"/>
    <col min="6" max="6" width="3.6640625" customWidth="1"/>
    <col min="7" max="7" width="4.6640625" customWidth="1"/>
    <col min="8" max="8" width="46.5546875" customWidth="1"/>
    <col min="9" max="9" width="20.5546875" customWidth="1"/>
    <col min="10" max="10" width="19.33203125" customWidth="1"/>
    <col min="11" max="11" width="19.33203125" hidden="1" customWidth="1"/>
  </cols>
  <sheetData>
    <row r="1" spans="7:15" ht="15" hidden="1" customHeight="1" x14ac:dyDescent="0.3">
      <c r="K1" s="216" t="b">
        <f>REPORT_OWNER="Версия регулятора"</f>
        <v>0</v>
      </c>
    </row>
    <row r="2" spans="7:15" ht="11.25" hidden="1" customHeight="1" x14ac:dyDescent="0.3"/>
    <row r="3" spans="7:15" ht="11.25" hidden="1" customHeight="1" x14ac:dyDescent="0.3"/>
    <row r="4" spans="7:15" ht="11.25" hidden="1" customHeight="1" x14ac:dyDescent="0.3"/>
    <row r="5" spans="7:15" ht="11.25" hidden="1" customHeight="1" x14ac:dyDescent="0.3"/>
    <row r="6" spans="7:15" ht="10.5" customHeight="1" x14ac:dyDescent="0.3"/>
    <row r="7" spans="7:15" ht="25.5" customHeight="1" x14ac:dyDescent="0.3">
      <c r="G7" s="320" t="str">
        <f>"Форма 3.1 Отчетные данные для расчета значения показателя качества рассмотрения заявок на технологическое присоединение к сети"</f>
        <v>Форма 3.1 Отчетные данные для расчета значения показателя качества рассмотрения заявок на технологическое присоединение к сети</v>
      </c>
      <c r="H7" s="320"/>
      <c r="I7" s="320"/>
      <c r="J7" s="320"/>
    </row>
    <row r="8" spans="7:15" ht="5.25" customHeight="1" x14ac:dyDescent="0.3"/>
    <row r="9" spans="7:15" ht="20.25" customHeight="1" x14ac:dyDescent="0.3">
      <c r="G9" s="49" t="s">
        <v>2112</v>
      </c>
      <c r="H9" s="303" t="s">
        <v>2344</v>
      </c>
      <c r="I9" s="303"/>
      <c r="J9" s="48" t="str">
        <f>IF(FIRST_PERIOD_IN_FACT="","Не определено",FIRST_PERIOD_IN_FACT)&amp;" год"</f>
        <v>2022 год</v>
      </c>
      <c r="K9" s="209" t="str">
        <f>IF(FIRST_PERIOD_IN_FACT="","Не определено",FIRST_PERIOD_IN_FACT)&amp;" год"</f>
        <v>2022 год</v>
      </c>
      <c r="L9" s="276"/>
      <c r="M9" s="276"/>
      <c r="N9" s="276"/>
      <c r="O9" s="276"/>
    </row>
    <row r="10" spans="7:15" ht="60" customHeight="1" x14ac:dyDescent="0.3">
      <c r="G10" s="48">
        <v>1</v>
      </c>
      <c r="H10" s="342" t="s">
        <v>2345</v>
      </c>
      <c r="I10" s="342"/>
      <c r="J10" s="217">
        <v>19</v>
      </c>
      <c r="K10" s="217">
        <f>J10</f>
        <v>19</v>
      </c>
    </row>
    <row r="11" spans="7:15" ht="60" customHeight="1" x14ac:dyDescent="0.3">
      <c r="G11" s="48">
        <v>2</v>
      </c>
      <c r="H11" s="342" t="s">
        <v>2346</v>
      </c>
      <c r="I11" s="342"/>
      <c r="J11" s="217">
        <v>0</v>
      </c>
      <c r="K11" s="217">
        <f>J11</f>
        <v>0</v>
      </c>
    </row>
    <row r="12" spans="7:15" ht="15" customHeight="1" x14ac:dyDescent="0.3">
      <c r="G12" s="341" t="s">
        <v>2347</v>
      </c>
      <c r="H12" s="341"/>
      <c r="I12" s="341"/>
      <c r="J12" s="152">
        <f>MAX(1,J10-J11)</f>
        <v>19</v>
      </c>
      <c r="K12" s="152">
        <f>MAX(1,K10-K11)</f>
        <v>19</v>
      </c>
    </row>
    <row r="13" spans="7:15" ht="15" customHeight="1" x14ac:dyDescent="0.3">
      <c r="G13" s="341" t="s">
        <v>2348</v>
      </c>
      <c r="H13" s="341"/>
      <c r="I13" s="341"/>
      <c r="J13" s="152">
        <f>IF(AND(god&gt;2014,J10=0),1,J10/J12)</f>
        <v>1</v>
      </c>
      <c r="K13" s="152">
        <f>IF(AND(god&gt;2014,K10=0),1,K10/K12)</f>
        <v>1</v>
      </c>
    </row>
    <row r="14" spans="7:15" ht="20.25" customHeight="1" x14ac:dyDescent="0.3"/>
    <row r="15" spans="7:15" ht="24" customHeight="1" x14ac:dyDescent="0.3">
      <c r="G15" s="323" t="str">
        <f>"Форма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сети"</f>
        <v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</v>
      </c>
      <c r="H15" s="323"/>
      <c r="I15" s="323"/>
      <c r="J15" s="323"/>
    </row>
    <row r="16" spans="7:15" ht="1.5" customHeight="1" x14ac:dyDescent="0.3"/>
    <row r="17" spans="7:15" ht="11.25" customHeight="1" x14ac:dyDescent="0.3">
      <c r="G17" s="303" t="s">
        <v>2112</v>
      </c>
      <c r="H17" s="303" t="s">
        <v>2344</v>
      </c>
      <c r="I17" s="303"/>
      <c r="J17" s="317" t="str">
        <f>IF(FIRST_PERIOD_IN_FACT="","Не определено",FIRST_PERIOD_IN_FACT)&amp;" год"</f>
        <v>2022 год</v>
      </c>
      <c r="K17" s="344" t="str">
        <f>IF(FIRST_PERIOD_IN_FACT="","Не определено",FIRST_PERIOD_IN_FACT)&amp;" год"</f>
        <v>2022 год</v>
      </c>
      <c r="L17" s="276"/>
      <c r="M17" s="276"/>
      <c r="N17" s="276"/>
      <c r="O17" s="276"/>
    </row>
    <row r="18" spans="7:15" ht="11.25" customHeight="1" x14ac:dyDescent="0.3">
      <c r="G18" s="303"/>
      <c r="H18" s="303"/>
      <c r="I18" s="303"/>
      <c r="J18" s="317"/>
      <c r="K18" s="344"/>
    </row>
    <row r="19" spans="7:15" ht="45.75" customHeight="1" x14ac:dyDescent="0.3">
      <c r="G19" s="48">
        <v>1</v>
      </c>
      <c r="H19" s="342" t="s">
        <v>2349</v>
      </c>
      <c r="I19" s="342"/>
      <c r="J19" s="217">
        <v>9</v>
      </c>
      <c r="K19" s="217">
        <f>J19</f>
        <v>9</v>
      </c>
    </row>
    <row r="20" spans="7:15" ht="61.5" customHeight="1" x14ac:dyDescent="0.3">
      <c r="G20" s="48">
        <v>2</v>
      </c>
      <c r="H20" s="342" t="s">
        <v>2350</v>
      </c>
      <c r="I20" s="342"/>
      <c r="J20" s="217">
        <v>0</v>
      </c>
      <c r="K20" s="217">
        <f>J20</f>
        <v>0</v>
      </c>
    </row>
    <row r="21" spans="7:15" ht="15" customHeight="1" x14ac:dyDescent="0.3">
      <c r="G21" s="341" t="s">
        <v>2351</v>
      </c>
      <c r="H21" s="341"/>
      <c r="I21" s="341"/>
      <c r="J21" s="152">
        <f>MAX(1,J19-J20)</f>
        <v>9</v>
      </c>
      <c r="K21" s="152">
        <f>MAX(1,K19-K20)</f>
        <v>9</v>
      </c>
    </row>
    <row r="22" spans="7:15" ht="15" customHeight="1" x14ac:dyDescent="0.3">
      <c r="G22" s="341" t="s">
        <v>2352</v>
      </c>
      <c r="H22" s="341"/>
      <c r="I22" s="341"/>
      <c r="J22" s="152">
        <f>IF(AND(god&gt;2014,J19=0),1,J19/J21)</f>
        <v>1</v>
      </c>
      <c r="K22" s="152">
        <f>IF(AND(god&gt;2014,K19=0),1,K19/K21)</f>
        <v>1</v>
      </c>
    </row>
    <row r="23" spans="7:15" ht="20.25" customHeight="1" x14ac:dyDescent="0.3"/>
    <row r="24" spans="7:15" ht="21" customHeight="1" x14ac:dyDescent="0.3">
      <c r="G24" s="323" t="s">
        <v>2353</v>
      </c>
      <c r="H24" s="323"/>
      <c r="I24" s="323"/>
      <c r="J24" s="323"/>
    </row>
    <row r="25" spans="7:15" ht="1.5" customHeight="1" x14ac:dyDescent="0.3"/>
    <row r="26" spans="7:15" ht="19.5" customHeight="1" x14ac:dyDescent="0.3">
      <c r="G26" s="317"/>
      <c r="H26" s="317"/>
      <c r="I26" s="317"/>
      <c r="J26" s="48" t="str">
        <f>IF(FIRST_PERIOD_IN_FACT="","Не определено",FIRST_PERIOD_IN_FACT)&amp;" год"</f>
        <v>2022 год</v>
      </c>
      <c r="K26" s="209" t="str">
        <f>IF(FIRST_PERIOD_IN_FACT="","Не определено",FIRST_PERIOD_IN_FACT)&amp;" год"</f>
        <v>2022 год</v>
      </c>
    </row>
    <row r="27" spans="7:15" ht="15" customHeight="1" x14ac:dyDescent="0.3">
      <c r="G27" s="343" t="s">
        <v>2354</v>
      </c>
      <c r="H27" s="343"/>
      <c r="I27" s="343"/>
      <c r="J27" s="218">
        <f>0.5*J13+0.5*J22</f>
        <v>1</v>
      </c>
      <c r="K27" s="218">
        <f>0.5*K13+0.5*K22</f>
        <v>1</v>
      </c>
    </row>
    <row r="29" spans="7:15" ht="45" customHeight="1" x14ac:dyDescent="0.2">
      <c r="H29" s="22" t="str">
        <f>IF(LEN(ruk_dol)=0,"",ruk_dol)</f>
        <v>Исполнительный директор</v>
      </c>
      <c r="I29" s="214" t="str">
        <f>IF(LEN(ruk_FIO)=0,"",ruk_FIO)</f>
        <v>Иванов Илья Николаевич</v>
      </c>
      <c r="J29" s="219"/>
      <c r="K29" s="219"/>
    </row>
    <row r="30" spans="7:15" ht="11.25" customHeight="1" x14ac:dyDescent="0.3">
      <c r="H30" s="79" t="s">
        <v>1980</v>
      </c>
      <c r="I30" s="215" t="s">
        <v>2057</v>
      </c>
      <c r="J30" s="220" t="s">
        <v>2058</v>
      </c>
      <c r="K30" s="220" t="s">
        <v>2058</v>
      </c>
    </row>
    <row r="32" spans="7:15" ht="11.25" customHeight="1" x14ac:dyDescent="0.3">
      <c r="G32" s="185"/>
      <c r="H32" s="185"/>
      <c r="J32" s="187"/>
      <c r="K32" s="187"/>
    </row>
    <row r="33" spans="7:11" ht="11.25" customHeight="1" x14ac:dyDescent="0.3">
      <c r="G33" s="298"/>
      <c r="H33" s="298"/>
      <c r="I33" s="298"/>
      <c r="J33" s="298"/>
    </row>
    <row r="34" spans="7:11" ht="11.25" customHeight="1" x14ac:dyDescent="0.3">
      <c r="G34" s="186"/>
      <c r="H34" s="185"/>
      <c r="J34" s="187"/>
      <c r="K34" s="187"/>
    </row>
    <row r="35" spans="7:11" ht="11.25" customHeight="1" x14ac:dyDescent="0.3">
      <c r="G35" s="298"/>
      <c r="H35" s="298"/>
      <c r="I35" s="298"/>
      <c r="J35" s="298"/>
    </row>
    <row r="36" spans="7:11" ht="11.25" customHeight="1" x14ac:dyDescent="0.3">
      <c r="G36" s="186"/>
      <c r="H36" s="185"/>
    </row>
    <row r="37" spans="7:11" ht="11.25" customHeight="1" x14ac:dyDescent="0.3">
      <c r="G37" s="298"/>
      <c r="H37" s="298"/>
    </row>
  </sheetData>
  <sheetProtection formatColumns="0" formatRows="0" insertRows="0" deleteColumns="0" deleteRows="0" sort="0" autoFilter="0"/>
  <mergeCells count="25">
    <mergeCell ref="G7:J7"/>
    <mergeCell ref="L17:O17"/>
    <mergeCell ref="H19:I19"/>
    <mergeCell ref="H20:I20"/>
    <mergeCell ref="J17:J18"/>
    <mergeCell ref="H17:I18"/>
    <mergeCell ref="G12:I12"/>
    <mergeCell ref="H11:I11"/>
    <mergeCell ref="G13:I13"/>
    <mergeCell ref="H9:I9"/>
    <mergeCell ref="K17:K18"/>
    <mergeCell ref="G37:H37"/>
    <mergeCell ref="G27:I27"/>
    <mergeCell ref="G33:H33"/>
    <mergeCell ref="I33:J33"/>
    <mergeCell ref="G35:H35"/>
    <mergeCell ref="I35:J35"/>
    <mergeCell ref="G26:I26"/>
    <mergeCell ref="G24:J24"/>
    <mergeCell ref="G21:I21"/>
    <mergeCell ref="L9:O9"/>
    <mergeCell ref="H10:I10"/>
    <mergeCell ref="G17:G18"/>
    <mergeCell ref="G22:I22"/>
    <mergeCell ref="G15:J15"/>
  </mergeCells>
  <dataValidations count="1">
    <dataValidation type="whole" allowBlank="1" showErrorMessage="1" errorTitle="Ошибка" error="Допускается ввод только неотрицательных целых чисел!" sqref="J10:K11 J19:K20" xr:uid="{00000000-0002-0000-1000-000000000000}">
      <formula1>0</formula1>
      <formula2>9.99999999999999E+23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F70A-11B8-13B5-561D-0686A72A7E53}">
  <sheetPr>
    <tabColor theme="3" tint="0.79998168889431442"/>
  </sheetPr>
  <dimension ref="A1:L55"/>
  <sheetViews>
    <sheetView showGridLines="0" topLeftCell="F9" workbookViewId="0"/>
  </sheetViews>
  <sheetFormatPr defaultColWidth="9.109375" defaultRowHeight="11.25" customHeight="1" x14ac:dyDescent="0.3"/>
  <cols>
    <col min="1" max="5" width="9.109375" hidden="1"/>
    <col min="6" max="6" width="3.6640625" customWidth="1"/>
    <col min="7" max="7" width="4.6640625" customWidth="1"/>
    <col min="8" max="8" width="68.109375" customWidth="1"/>
    <col min="9" max="9" width="15" customWidth="1"/>
    <col min="10" max="10" width="13.33203125" customWidth="1"/>
    <col min="11" max="11" width="13.33203125" hidden="1" customWidth="1"/>
    <col min="12" max="12" width="13.88671875" hidden="1" customWidth="1"/>
  </cols>
  <sheetData>
    <row r="1" spans="7:12" ht="15.75" hidden="1" customHeight="1" x14ac:dyDescent="0.2">
      <c r="K1" s="221" t="b">
        <f>REPORT_OWNER="Версия регулятора"</f>
        <v>0</v>
      </c>
      <c r="L1" s="221" t="b">
        <f>REPORT_OWNER="Версия регулятора"</f>
        <v>0</v>
      </c>
    </row>
    <row r="2" spans="7:12" ht="15.75" hidden="1" customHeight="1" x14ac:dyDescent="0.3"/>
    <row r="3" spans="7:12" ht="15.75" hidden="1" customHeight="1" x14ac:dyDescent="0.3"/>
    <row r="4" spans="7:12" ht="15.75" hidden="1" customHeight="1" x14ac:dyDescent="0.3"/>
    <row r="5" spans="7:12" ht="15.75" hidden="1" customHeight="1" x14ac:dyDescent="0.3"/>
    <row r="6" spans="7:12" ht="15.75" hidden="1" customHeight="1" x14ac:dyDescent="0.3"/>
    <row r="7" spans="7:12" ht="15.75" hidden="1" customHeight="1" x14ac:dyDescent="0.3"/>
    <row r="8" spans="7:12" ht="15.75" hidden="1" customHeight="1" x14ac:dyDescent="0.3"/>
    <row r="9" spans="7:12" ht="15.75" customHeight="1" x14ac:dyDescent="0.3"/>
    <row r="10" spans="7:12" ht="30" customHeight="1" x14ac:dyDescent="0.3">
      <c r="G10" s="320" t="s">
        <v>2355</v>
      </c>
      <c r="H10" s="320"/>
      <c r="I10" s="320"/>
      <c r="J10" s="320"/>
    </row>
    <row r="11" spans="7:12" ht="5.25" customHeight="1" x14ac:dyDescent="0.3"/>
    <row r="12" spans="7:12" ht="25.5" customHeight="1" x14ac:dyDescent="0.3">
      <c r="G12" s="48" t="s">
        <v>2112</v>
      </c>
      <c r="H12" s="49" t="s">
        <v>2356</v>
      </c>
      <c r="I12" s="49" t="s">
        <v>2357</v>
      </c>
      <c r="J12" s="48" t="str">
        <f>IF(FIRST_PERIOD_IN_FACT="","Не определено",FIRST_PERIOD_IN_FACT)&amp;" год"</f>
        <v>2022 год</v>
      </c>
      <c r="K12" s="209" t="str">
        <f>IF(FIRST_PERIOD_IN_FACT="","Не определено",FIRST_PERIOD_IN_FACT)&amp;" год"</f>
        <v>2022 год</v>
      </c>
    </row>
    <row r="13" spans="7:12" ht="25.5" customHeight="1" x14ac:dyDescent="0.3">
      <c r="G13" s="48">
        <v>1</v>
      </c>
      <c r="H13" s="84" t="s">
        <v>2358</v>
      </c>
      <c r="I13" s="49" t="s">
        <v>45</v>
      </c>
      <c r="J13" s="84"/>
      <c r="K13" s="84"/>
    </row>
    <row r="14" spans="7:12" ht="15" customHeight="1" x14ac:dyDescent="0.3">
      <c r="G14" s="48">
        <v>2</v>
      </c>
      <c r="H14" s="84" t="s">
        <v>2359</v>
      </c>
      <c r="I14" s="49" t="s">
        <v>167</v>
      </c>
      <c r="J14" s="84"/>
      <c r="K14" s="84"/>
    </row>
    <row r="15" spans="7:12" ht="25.5" customHeight="1" x14ac:dyDescent="0.3">
      <c r="G15" s="48">
        <f t="shared" ref="G15:G31" si="0">G14+1</f>
        <v>3</v>
      </c>
      <c r="H15" s="84" t="s">
        <v>2360</v>
      </c>
      <c r="I15" s="49" t="s">
        <v>2035</v>
      </c>
      <c r="J15" s="211">
        <f>'ф.1.3 Ср.продолж.'!I15</f>
        <v>4.6394982935153584</v>
      </c>
      <c r="K15" s="211">
        <f>'ф.1.3 Ср.продолж.'!J15</f>
        <v>4.6394982935153584</v>
      </c>
    </row>
    <row r="16" spans="7:12" ht="25.5" customHeight="1" x14ac:dyDescent="0.3">
      <c r="G16" s="48">
        <f t="shared" si="0"/>
        <v>4</v>
      </c>
      <c r="H16" s="84" t="s">
        <v>2361</v>
      </c>
      <c r="I16" s="49" t="s">
        <v>165</v>
      </c>
      <c r="J16" s="211">
        <f>'ф.1.3 Ср.продолж.'!I16</f>
        <v>0.75426621160409557</v>
      </c>
      <c r="K16" s="211">
        <f>'ф.1.3 Ср.продолж.'!J16</f>
        <v>0.75426621160409557</v>
      </c>
    </row>
    <row r="17" spans="7:11" ht="25.5" customHeight="1" x14ac:dyDescent="0.3">
      <c r="G17" s="48">
        <f t="shared" si="0"/>
        <v>5</v>
      </c>
      <c r="H17" s="84" t="s">
        <v>2362</v>
      </c>
      <c r="I17" s="49" t="s">
        <v>2363</v>
      </c>
      <c r="J17" s="152">
        <f>'Ф.3.1Ф3.2 ПоказТехприс (Птпр)'!J13*0.5+'Ф.3.1Ф3.2 ПоказТехприс (Птпр)'!J22*0.5</f>
        <v>1</v>
      </c>
      <c r="K17" s="152">
        <f>'Ф.3.1Ф3.2 ПоказТехприс (Птпр)'!K13*0.5+'Ф.3.1Ф3.2 ПоказТехприс (Птпр)'!K22*0.5</f>
        <v>1</v>
      </c>
    </row>
    <row r="18" spans="7:11" ht="25.5" customHeight="1" x14ac:dyDescent="0.3">
      <c r="G18" s="48">
        <f t="shared" si="0"/>
        <v>6</v>
      </c>
      <c r="H18" s="84" t="s">
        <v>2364</v>
      </c>
      <c r="I18" s="49" t="s">
        <v>2144</v>
      </c>
      <c r="J18" s="84"/>
      <c r="K18" s="84"/>
    </row>
    <row r="19" spans="7:11" ht="15" customHeight="1" x14ac:dyDescent="0.3">
      <c r="G19" s="48">
        <f t="shared" si="0"/>
        <v>7</v>
      </c>
      <c r="H19" s="84" t="s">
        <v>2365</v>
      </c>
      <c r="I19" s="49" t="s">
        <v>2366</v>
      </c>
      <c r="J19" s="84"/>
      <c r="K19" s="84"/>
    </row>
    <row r="20" spans="7:11" ht="15" customHeight="1" x14ac:dyDescent="0.3">
      <c r="G20" s="48">
        <f t="shared" si="0"/>
        <v>8</v>
      </c>
      <c r="H20" s="84" t="s">
        <v>2367</v>
      </c>
      <c r="I20" s="49" t="s">
        <v>2366</v>
      </c>
      <c r="J20" s="222"/>
      <c r="K20" s="222"/>
    </row>
    <row r="21" spans="7:11" ht="15" customHeight="1" x14ac:dyDescent="0.3">
      <c r="G21" s="48">
        <f t="shared" si="0"/>
        <v>9</v>
      </c>
      <c r="H21" s="84" t="s">
        <v>2368</v>
      </c>
      <c r="I21" s="49" t="s">
        <v>2366</v>
      </c>
      <c r="J21" s="84"/>
      <c r="K21" s="84"/>
    </row>
    <row r="22" spans="7:11" ht="15" customHeight="1" x14ac:dyDescent="0.3">
      <c r="G22" s="48">
        <f t="shared" si="0"/>
        <v>10</v>
      </c>
      <c r="H22" s="84" t="s">
        <v>2369</v>
      </c>
      <c r="I22" s="49" t="s">
        <v>2366</v>
      </c>
      <c r="J22" s="84"/>
      <c r="K22" s="84"/>
    </row>
    <row r="23" spans="7:11" ht="15" customHeight="1" x14ac:dyDescent="0.3">
      <c r="G23" s="48">
        <f t="shared" si="0"/>
        <v>11</v>
      </c>
      <c r="H23" s="84" t="s">
        <v>2370</v>
      </c>
      <c r="I23" s="49" t="s">
        <v>2371</v>
      </c>
      <c r="J23" s="223"/>
      <c r="K23" s="223"/>
    </row>
    <row r="24" spans="7:11" ht="15" customHeight="1" x14ac:dyDescent="0.3">
      <c r="G24" s="48">
        <f t="shared" si="0"/>
        <v>12</v>
      </c>
      <c r="H24" s="84" t="s">
        <v>2372</v>
      </c>
      <c r="I24" s="49" t="s">
        <v>2371</v>
      </c>
      <c r="J24" s="223"/>
      <c r="K24" s="223"/>
    </row>
    <row r="25" spans="7:11" ht="15" customHeight="1" x14ac:dyDescent="0.3">
      <c r="G25" s="48">
        <f t="shared" si="0"/>
        <v>13</v>
      </c>
      <c r="H25" s="84" t="s">
        <v>2373</v>
      </c>
      <c r="I25" s="49" t="s">
        <v>2374</v>
      </c>
      <c r="J25" s="84"/>
      <c r="K25" s="84"/>
    </row>
    <row r="26" spans="7:11" ht="15" customHeight="1" x14ac:dyDescent="0.3">
      <c r="G26" s="48">
        <f t="shared" si="0"/>
        <v>14</v>
      </c>
      <c r="H26" s="84" t="s">
        <v>2375</v>
      </c>
      <c r="I26" s="49" t="s">
        <v>2374</v>
      </c>
      <c r="J26" s="152">
        <f>IF(AND(J15=0,J23=0),0,IF(J15&gt;J23*(1+J40),-1,IF(J15&lt;=J23*(1-J39),1,0)))</f>
        <v>-1</v>
      </c>
      <c r="K26" s="224">
        <f>IF(AND(K15=0,K23=0),0,IF(K15&gt;K23*(1+L40),-1,IF(K15&lt;=K23*(1-L39),1,0)))</f>
        <v>-1</v>
      </c>
    </row>
    <row r="27" spans="7:11" ht="15" customHeight="1" x14ac:dyDescent="0.3">
      <c r="G27" s="48">
        <f t="shared" si="0"/>
        <v>15</v>
      </c>
      <c r="H27" s="84" t="s">
        <v>2376</v>
      </c>
      <c r="I27" s="49" t="s">
        <v>2374</v>
      </c>
      <c r="J27" s="152">
        <f>IF(AND(J16=0,J24=0),0,IF(J16&gt;J24*(1+J40),-1,IF(J16&lt;=J24*(1-J39),1,0)))</f>
        <v>-1</v>
      </c>
      <c r="K27" s="224">
        <f>IF(AND(K16=0,K24=0),0,IF(K16&gt;K24*(1+L40),-1,IF(K16&lt;=K24*(1-L39),1,0)))</f>
        <v>-1</v>
      </c>
    </row>
    <row r="28" spans="7:11" ht="40.5" customHeight="1" x14ac:dyDescent="0.3">
      <c r="G28" s="48">
        <f t="shared" si="0"/>
        <v>16</v>
      </c>
      <c r="H28" s="84" t="s">
        <v>2377</v>
      </c>
      <c r="I28" s="49" t="s">
        <v>2374</v>
      </c>
      <c r="J28" s="84"/>
      <c r="K28" s="84"/>
    </row>
    <row r="29" spans="7:11" ht="25.5" customHeight="1" x14ac:dyDescent="0.3">
      <c r="G29" s="48">
        <f t="shared" si="0"/>
        <v>17</v>
      </c>
      <c r="H29" s="84" t="s">
        <v>2378</v>
      </c>
      <c r="I29" s="49" t="s">
        <v>2374</v>
      </c>
      <c r="J29" s="152">
        <f>IF(J17&gt;=J20*(1+J55),-1,IF(J17&lt;=J20*(1-J55),1,0))</f>
        <v>-1</v>
      </c>
      <c r="K29" s="152">
        <f>IF(K17&gt;=K20*(1+L55),-1,IF(K17&lt;=K20*(1-L55),1,0))</f>
        <v>-1</v>
      </c>
    </row>
    <row r="30" spans="7:11" ht="25.5" customHeight="1" x14ac:dyDescent="0.3">
      <c r="G30" s="48">
        <f t="shared" si="0"/>
        <v>18</v>
      </c>
      <c r="H30" s="84" t="s">
        <v>2379</v>
      </c>
      <c r="I30" s="49" t="s">
        <v>2374</v>
      </c>
      <c r="J30" s="225"/>
      <c r="K30" s="225"/>
    </row>
    <row r="31" spans="7:11" ht="25.5" customHeight="1" x14ac:dyDescent="0.3">
      <c r="G31" s="48">
        <f t="shared" si="0"/>
        <v>19</v>
      </c>
      <c r="H31" s="84" t="s">
        <v>2380</v>
      </c>
      <c r="I31" s="226" t="s">
        <v>2374</v>
      </c>
      <c r="J31" s="227"/>
      <c r="K31" s="227"/>
    </row>
    <row r="33" spans="8:12" ht="45" customHeight="1" x14ac:dyDescent="0.2">
      <c r="H33" s="22" t="str">
        <f>IF(LEN(ruk_dol)=0,"",ruk_dol)</f>
        <v>Исполнительный директор</v>
      </c>
      <c r="I33" s="214" t="str">
        <f>IF(LEN(ruk_FIO)=0,"",ruk_FIO)</f>
        <v>Иванов Илья Николаевич</v>
      </c>
    </row>
    <row r="34" spans="8:12" ht="11.25" customHeight="1" x14ac:dyDescent="0.3">
      <c r="H34" s="79" t="s">
        <v>1980</v>
      </c>
      <c r="I34" s="215" t="s">
        <v>2057</v>
      </c>
      <c r="J34" s="79" t="s">
        <v>2058</v>
      </c>
      <c r="K34" s="79" t="s">
        <v>2058</v>
      </c>
    </row>
    <row r="38" spans="8:12" ht="20.25" customHeight="1" x14ac:dyDescent="0.3">
      <c r="H38" s="49" t="s">
        <v>2381</v>
      </c>
      <c r="I38" s="48" t="str">
        <f>IF(FIRST_PERIOD_IN_FACT="","Не определено",FIRST_PERIOD_IN_FACT-1)&amp;" год"</f>
        <v>2021 год</v>
      </c>
      <c r="J38" s="48" t="str">
        <f>IF(FIRST_PERIOD_IN_FACT="","Не определено",FIRST_PERIOD_IN_FACT)&amp;" год"</f>
        <v>2022 год</v>
      </c>
      <c r="K38" s="209" t="str">
        <f>IF(FIRST_PERIOD_IN_FACT="","Не определено",FIRST_PERIOD_IN_FACT-1)&amp;" год"</f>
        <v>2021 год</v>
      </c>
      <c r="L38" s="209" t="str">
        <f>IF(FIRST_PERIOD_IN_FACT="","Не определено",FIRST_PERIOD_IN_FACT)&amp;" год"</f>
        <v>2022 год</v>
      </c>
    </row>
    <row r="39" spans="8:12" ht="15" customHeight="1" x14ac:dyDescent="0.3">
      <c r="H39" s="84" t="s">
        <v>2382</v>
      </c>
      <c r="I39" s="84"/>
      <c r="J39" s="211">
        <f>IF(AND(J41="да",FIRST_PERIOD_IN_FACT-FIRST_PERIOD_IN_LT+1&lt;=3),0.35,IF(AND(J41="да",FIRST_PERIOD_IN_FACT-FIRST_PERIOD_IN_LT+1=4,I50&gt;35%),0.3,IF(AND(J41="да",FIRST_PERIOD_IN_FACT-FIRST_PERIOD_IN_LT+1=4,I50&lt;35%),0.35,IF(AND(I50&gt;35%,I47=0.35),0.3,IF(I50&gt;35%,MAX(I47-0.01,0.25),I47)))))</f>
        <v>0</v>
      </c>
      <c r="K39" s="84"/>
      <c r="L39" s="228">
        <f>IF(AND(L41="да",FIRST_PERIOD_IN_FACT-FIRST_PERIOD_IN_LT+1&lt;=3),0.35,IF(AND(L41="да",FIRST_PERIOD_IN_FACT-FIRST_PERIOD_IN_LT+1=4,K50&gt;35%),0.3,IF(AND(L41="да",FIRST_PERIOD_IN_FACT-FIRST_PERIOD_IN_LT+1=4,K50&lt;35%),0.35,IF(AND(K50&gt;35%,K47=0.35),0.3,IF(K50&gt;35%,MAX(K47-0.01,0.25),K47)))))</f>
        <v>0</v>
      </c>
    </row>
    <row r="40" spans="8:12" ht="15" customHeight="1" x14ac:dyDescent="0.3">
      <c r="H40" s="84" t="s">
        <v>2383</v>
      </c>
      <c r="I40" s="84"/>
      <c r="J40" s="211">
        <f>IF(AND(J41="да",FIRST_PERIOD_IN_FACT-FIRST_PERIOD_IN_LT+1&lt;=3),0.35,IF(AND(J41="да",FIRST_PERIOD_IN_FACT-FIRST_PERIOD_IN_LT+1=4,I54&gt;35%),0.3,IF(AND(J41="да",FIRST_PERIOD_IN_FACT-FIRST_PERIOD_IN_LT+1=4,I54&lt;35%),0.35,IF(AND(I54&gt;35%,I51=0.35),0.3,IF(I54&gt;35%,MAX(I51-0.01,0.25),I51)))))</f>
        <v>0</v>
      </c>
      <c r="K40" s="84"/>
      <c r="L40" s="228">
        <f>IF(AND(L41="да",FIRST_PERIOD_IN_FACT-FIRST_PERIOD_IN_LT+1&lt;=3),0.35,IF(AND(L41="да",FIRST_PERIOD_IN_FACT-FIRST_PERIOD_IN_LT+1=4,K54&gt;35%),0.3,IF(AND(L41="да",FIRST_PERIOD_IN_FACT-FIRST_PERIOD_IN_LT+1=4,K54&lt;35%),0.35,IF(AND(K54&gt;35%,K51=0.35),0.3,IF(K54&gt;35%,MAX(K51-0.01,0.25),K51)))))</f>
        <v>0</v>
      </c>
    </row>
    <row r="41" spans="8:12" ht="25.5" customHeight="1" x14ac:dyDescent="0.3">
      <c r="H41" s="84" t="s">
        <v>2384</v>
      </c>
      <c r="I41" s="84"/>
      <c r="J41" s="229" t="str">
        <f>FIRST_PERIOD_INDEX</f>
        <v>нет</v>
      </c>
      <c r="K41" s="84"/>
      <c r="L41" s="230" t="str">
        <f>FIRST_PERIOD_INDEX</f>
        <v>нет</v>
      </c>
    </row>
    <row r="42" spans="8:12" ht="15" customHeight="1" x14ac:dyDescent="0.3">
      <c r="H42" s="84" t="s">
        <v>2385</v>
      </c>
      <c r="I42" s="84"/>
      <c r="J42" s="144"/>
      <c r="K42" s="84"/>
      <c r="L42" s="144"/>
    </row>
    <row r="43" spans="8:12" ht="15" customHeight="1" x14ac:dyDescent="0.3">
      <c r="H43" s="84" t="s">
        <v>2386</v>
      </c>
      <c r="I43" s="231"/>
      <c r="J43" s="84"/>
      <c r="K43" s="231"/>
      <c r="L43" s="84"/>
    </row>
    <row r="44" spans="8:12" ht="15" customHeight="1" x14ac:dyDescent="0.3">
      <c r="H44" s="84" t="s">
        <v>2387</v>
      </c>
      <c r="I44" s="211">
        <f>J20</f>
        <v>0</v>
      </c>
      <c r="J44" s="84"/>
      <c r="K44" s="211">
        <f>K20</f>
        <v>0</v>
      </c>
      <c r="L44" s="84"/>
    </row>
    <row r="45" spans="8:12" ht="15" customHeight="1" x14ac:dyDescent="0.3">
      <c r="H45" s="84" t="s">
        <v>2388</v>
      </c>
      <c r="I45" s="211">
        <f>'Ф.3.1Ф3.2 ПоказТехприс (Птпр)'!J27</f>
        <v>1</v>
      </c>
      <c r="J45" s="84"/>
      <c r="K45" s="211">
        <f>'Ф.3.1Ф3.2 ПоказТехприс (Птпр)'!K27</f>
        <v>1</v>
      </c>
      <c r="L45" s="84"/>
    </row>
    <row r="46" spans="8:12" ht="15" customHeight="1" x14ac:dyDescent="0.3">
      <c r="H46" s="84" t="s">
        <v>2389</v>
      </c>
      <c r="I46" s="232">
        <f>IF(I44=0,0,IF(I45/I44&lt;1,0,1))</f>
        <v>0</v>
      </c>
      <c r="J46" s="84"/>
      <c r="K46" s="232">
        <f>IF(K44=0,0,IF(K45/K44&lt;1,0,1))</f>
        <v>0</v>
      </c>
      <c r="L46" s="84"/>
    </row>
    <row r="47" spans="8:12" ht="15" customHeight="1" x14ac:dyDescent="0.3">
      <c r="H47" s="84" t="s">
        <v>2390</v>
      </c>
      <c r="I47" s="231"/>
      <c r="J47" s="84"/>
      <c r="K47" s="231"/>
      <c r="L47" s="84"/>
    </row>
    <row r="48" spans="8:12" ht="11.25" customHeight="1" x14ac:dyDescent="0.3">
      <c r="H48" s="84" t="s">
        <v>2391</v>
      </c>
      <c r="I48" s="211">
        <f>J23</f>
        <v>0</v>
      </c>
      <c r="J48" s="84"/>
      <c r="K48" s="211">
        <f>K23</f>
        <v>0</v>
      </c>
      <c r="L48" s="84"/>
    </row>
    <row r="49" spans="8:12" ht="11.25" customHeight="1" x14ac:dyDescent="0.3">
      <c r="H49" s="84" t="s">
        <v>2392</v>
      </c>
      <c r="I49" s="211">
        <f>J15</f>
        <v>4.6394982935153584</v>
      </c>
      <c r="J49" s="84"/>
      <c r="K49" s="211">
        <f>K15</f>
        <v>4.6394982935153584</v>
      </c>
      <c r="L49" s="84"/>
    </row>
    <row r="50" spans="8:12" ht="11.25" customHeight="1" x14ac:dyDescent="0.3">
      <c r="H50" s="84" t="s">
        <v>2393</v>
      </c>
      <c r="I50" s="233">
        <f>IF(I48=0,0,I49/I48-1)</f>
        <v>0</v>
      </c>
      <c r="J50" s="84"/>
      <c r="K50" s="233">
        <f>IF(K48=0,0,K49/K48-1)</f>
        <v>0</v>
      </c>
      <c r="L50" s="84"/>
    </row>
    <row r="51" spans="8:12" ht="11.25" customHeight="1" x14ac:dyDescent="0.3">
      <c r="H51" s="84" t="s">
        <v>2394</v>
      </c>
      <c r="I51" s="231"/>
      <c r="J51" s="84"/>
      <c r="K51" s="231"/>
      <c r="L51" s="84"/>
    </row>
    <row r="52" spans="8:12" ht="11.25" customHeight="1" x14ac:dyDescent="0.3">
      <c r="H52" s="84" t="s">
        <v>2395</v>
      </c>
      <c r="I52" s="211">
        <f>J24</f>
        <v>0</v>
      </c>
      <c r="J52" s="84"/>
      <c r="K52" s="211">
        <f>K24</f>
        <v>0</v>
      </c>
      <c r="L52" s="84"/>
    </row>
    <row r="53" spans="8:12" ht="11.25" customHeight="1" x14ac:dyDescent="0.3">
      <c r="H53" s="84" t="s">
        <v>2396</v>
      </c>
      <c r="I53" s="211">
        <f>J16</f>
        <v>0.75426621160409557</v>
      </c>
      <c r="J53" s="84"/>
      <c r="K53" s="211">
        <f>K16</f>
        <v>0.75426621160409557</v>
      </c>
      <c r="L53" s="84"/>
    </row>
    <row r="54" spans="8:12" ht="11.25" customHeight="1" x14ac:dyDescent="0.3">
      <c r="H54" s="84" t="s">
        <v>2397</v>
      </c>
      <c r="I54" s="233">
        <f>IF(I52=0,0,I53/I52-1)</f>
        <v>0</v>
      </c>
      <c r="J54" s="84"/>
      <c r="K54" s="233">
        <f>IF(K52=0,0,K53/K52-1)</f>
        <v>0</v>
      </c>
      <c r="L54" s="84"/>
    </row>
    <row r="55" spans="8:12" ht="11.25" customHeight="1" x14ac:dyDescent="0.3">
      <c r="H55" s="84" t="s">
        <v>2398</v>
      </c>
      <c r="I55" s="84"/>
      <c r="J55" s="152">
        <f>IF(AND(J41="да",FIRST_PERIOD_IN_FACT-FIRST_PERIOD_IN_LT+1&lt;=3),0.35,IF(AND(J41="да",FIRST_PERIOD_IN_FACT-FIRST_PERIOD_IN_LT+1=4,I46=1),0.3,IF(AND(J41="да",FIRST_PERIOD_IN_FACT-FIRST_PERIOD_IN_LT+1=4,I46=0),0.35,IF(AND(I46=1,I43=0.35),0.3,IF(I46=1,MAX(I43-0.01,0.25),I43)))))</f>
        <v>0</v>
      </c>
      <c r="K55" s="84"/>
      <c r="L55" s="224">
        <f>IF(AND(L41="да",FIRST_PERIOD_IN_FACT-FIRST_PERIOD_IN_LT+1&lt;=3),0.35,IF(AND(L41="да",FIRST_PERIOD_IN_FACT-FIRST_PERIOD_IN_LT+1=4,K46=1),0.3,IF(AND(L41="да",FIRST_PERIOD_IN_FACT-FIRST_PERIOD_IN_LT+1=4,K46=0),0.35,IF(AND(K46=1,K43=0.35),0.3,IF(K46=1,MAX(K43-0.01,0.25),K43)))))</f>
        <v>0</v>
      </c>
    </row>
  </sheetData>
  <sheetProtection formatColumns="0" formatRows="0" insertRows="0" deleteColumns="0" deleteRows="0" sort="0" autoFilter="0"/>
  <mergeCells count="1">
    <mergeCell ref="G10:J10"/>
  </mergeCells>
  <dataValidations count="4">
    <dataValidation type="whole" allowBlank="1" showErrorMessage="1" errorTitle="Ошибка" error="Допускается ввод только неотрицательных целых чисел!" sqref="L42" xr:uid="{00000000-0002-0000-1100-000000000000}">
      <formula1>0</formula1>
      <formula2>9.99999999999999E+23</formula2>
    </dataValidation>
    <dataValidation type="whole" allowBlank="1" showErrorMessage="1" errorTitle="Ошибка" error="Допускается ввод только целых чисел!" sqref="J42" xr:uid="{00000000-0002-0000-1100-000001000000}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31:K31 K43:K45 I47:I49 I51:I53 I43:I45 L39:L40 J39:J40 K47:K49 K51:K53" xr:uid="{00000000-0002-0000-1100-000002000000}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20:K20 J23:K24" xr:uid="{00000000-0002-0000-1100-000003000000}">
      <formula1>0</formula1>
      <formula2>9.99999999999999E+23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CF1A-40E6-6B96-4179-CC40C829B175}">
  <sheetPr>
    <tabColor theme="3" tint="0.79998168889431442"/>
  </sheetPr>
  <dimension ref="A1:Q26"/>
  <sheetViews>
    <sheetView showGridLines="0" topLeftCell="F10" workbookViewId="0"/>
  </sheetViews>
  <sheetFormatPr defaultColWidth="9.109375" defaultRowHeight="11.25" customHeight="1" x14ac:dyDescent="0.3"/>
  <cols>
    <col min="1" max="5" width="9.109375" hidden="1"/>
    <col min="6" max="6" width="3.6640625" customWidth="1"/>
    <col min="7" max="7" width="4.6640625" customWidth="1"/>
    <col min="8" max="8" width="73.109375" customWidth="1"/>
    <col min="9" max="9" width="15.44140625" customWidth="1"/>
    <col min="10" max="10" width="15.44140625" hidden="1" customWidth="1"/>
    <col min="11" max="12" width="9.109375" hidden="1"/>
    <col min="13" max="16" width="15.88671875" hidden="1" customWidth="1"/>
    <col min="17" max="17" width="21.44140625" hidden="1" customWidth="1"/>
  </cols>
  <sheetData>
    <row r="1" spans="7:17" ht="11.25" hidden="1" customHeight="1" x14ac:dyDescent="0.2">
      <c r="J1" s="221" t="b">
        <f t="shared" ref="J1:Q1" si="0">REPORT_OWNER="Версия регулятора"</f>
        <v>0</v>
      </c>
      <c r="K1" s="221" t="b">
        <f t="shared" si="0"/>
        <v>0</v>
      </c>
      <c r="L1" s="221" t="b">
        <f t="shared" si="0"/>
        <v>0</v>
      </c>
      <c r="M1" s="221" t="b">
        <f t="shared" si="0"/>
        <v>0</v>
      </c>
      <c r="N1" s="221" t="b">
        <f t="shared" si="0"/>
        <v>0</v>
      </c>
      <c r="O1" s="221" t="b">
        <f t="shared" si="0"/>
        <v>0</v>
      </c>
      <c r="P1" s="221" t="b">
        <f t="shared" si="0"/>
        <v>0</v>
      </c>
      <c r="Q1" s="221" t="b">
        <f t="shared" si="0"/>
        <v>0</v>
      </c>
    </row>
    <row r="2" spans="7:17" ht="11.25" hidden="1" customHeight="1" x14ac:dyDescent="0.3"/>
    <row r="3" spans="7:17" ht="11.25" hidden="1" customHeight="1" x14ac:dyDescent="0.3"/>
    <row r="4" spans="7:17" ht="11.25" hidden="1" customHeight="1" x14ac:dyDescent="0.3"/>
    <row r="5" spans="7:17" ht="11.25" hidden="1" customHeight="1" x14ac:dyDescent="0.3"/>
    <row r="6" spans="7:17" ht="11.25" hidden="1" customHeight="1" x14ac:dyDescent="0.3"/>
    <row r="7" spans="7:17" ht="11.25" hidden="1" customHeight="1" x14ac:dyDescent="0.3"/>
    <row r="8" spans="7:17" ht="11.25" hidden="1" customHeight="1" x14ac:dyDescent="0.3"/>
    <row r="9" spans="7:17" ht="11.25" hidden="1" customHeight="1" x14ac:dyDescent="0.3"/>
    <row r="10" spans="7:17" ht="29.25" customHeight="1" x14ac:dyDescent="0.3"/>
    <row r="11" spans="7:17" ht="30" customHeight="1" x14ac:dyDescent="0.3">
      <c r="G11" s="323" t="s">
        <v>2399</v>
      </c>
      <c r="H11" s="323"/>
      <c r="I11" s="323"/>
    </row>
    <row r="12" spans="7:17" ht="5.25" customHeight="1" x14ac:dyDescent="0.3"/>
    <row r="13" spans="7:17" ht="25.5" customHeight="1" x14ac:dyDescent="0.3">
      <c r="G13" s="48" t="s">
        <v>2112</v>
      </c>
      <c r="H13" s="49" t="s">
        <v>2356</v>
      </c>
      <c r="I13" s="48" t="str">
        <f>IF(FIRST_PERIOD_IN_FACT="","Не определено",FIRST_PERIOD_IN_FACT)&amp;" год"</f>
        <v>2022 год</v>
      </c>
      <c r="J13" s="209" t="str">
        <f>IF(FIRST_PERIOD_IN_FACT="","Не определено",FIRST_PERIOD_IN_FACT)&amp;" год"</f>
        <v>2022 год</v>
      </c>
      <c r="K13" s="48" t="s">
        <v>2400</v>
      </c>
      <c r="L13" s="48" t="s">
        <v>2401</v>
      </c>
      <c r="M13" s="337" t="s">
        <v>2402</v>
      </c>
      <c r="N13" s="293"/>
      <c r="O13" s="293"/>
      <c r="P13" s="345"/>
      <c r="Q13" s="309" t="s">
        <v>2403</v>
      </c>
    </row>
    <row r="14" spans="7:17" ht="40.5" customHeight="1" x14ac:dyDescent="0.3">
      <c r="G14" s="48">
        <v>1</v>
      </c>
      <c r="H14" s="84" t="s">
        <v>2373</v>
      </c>
      <c r="I14" s="84"/>
      <c r="J14" s="84"/>
      <c r="K14" s="82"/>
      <c r="L14" s="82"/>
      <c r="M14" s="48" t="s">
        <v>2404</v>
      </c>
      <c r="N14" s="48" t="s">
        <v>2405</v>
      </c>
      <c r="O14" s="48" t="s">
        <v>2406</v>
      </c>
      <c r="P14" s="48" t="s">
        <v>2407</v>
      </c>
      <c r="Q14" s="308"/>
    </row>
    <row r="15" spans="7:17" ht="15" customHeight="1" x14ac:dyDescent="0.3">
      <c r="G15" s="48">
        <v>2</v>
      </c>
      <c r="H15" s="84" t="s">
        <v>2375</v>
      </c>
      <c r="I15" s="152">
        <f>'Форма 4.1 расч.'!J26</f>
        <v>-1</v>
      </c>
      <c r="J15" s="152">
        <f>'Форма 4.1 расч.'!K26</f>
        <v>-1</v>
      </c>
      <c r="K15" s="39"/>
      <c r="L15" s="39"/>
      <c r="M15" s="234"/>
      <c r="N15" s="235"/>
      <c r="O15" s="235"/>
      <c r="P15" s="235"/>
      <c r="Q15" s="236">
        <f>IF(SUM(M15:P15)&gt;0,-1,1)</f>
        <v>1</v>
      </c>
    </row>
    <row r="16" spans="7:17" ht="15" customHeight="1" x14ac:dyDescent="0.3">
      <c r="G16" s="48">
        <f t="shared" ref="G16:G23" si="1">G15+1</f>
        <v>3</v>
      </c>
      <c r="H16" s="84" t="s">
        <v>2376</v>
      </c>
      <c r="I16" s="152">
        <f>'Форма 4.1 расч.'!J27</f>
        <v>-1</v>
      </c>
      <c r="J16" s="152">
        <f>'Форма 4.1 расч.'!K27</f>
        <v>-1</v>
      </c>
    </row>
    <row r="17" spans="7:10" ht="15" customHeight="1" x14ac:dyDescent="0.3">
      <c r="G17" s="48">
        <f t="shared" si="1"/>
        <v>4</v>
      </c>
      <c r="H17" s="84" t="s">
        <v>2408</v>
      </c>
      <c r="I17" s="84"/>
      <c r="J17" s="84"/>
    </row>
    <row r="18" spans="7:10" ht="15" customHeight="1" x14ac:dyDescent="0.3">
      <c r="G18" s="48">
        <f t="shared" si="1"/>
        <v>5</v>
      </c>
      <c r="H18" s="84" t="s">
        <v>2409</v>
      </c>
      <c r="I18" s="152">
        <f>'Форма 4.1 расч.'!J29</f>
        <v>-1</v>
      </c>
      <c r="J18" s="152">
        <f>'Форма 4.1 расч.'!K29</f>
        <v>-1</v>
      </c>
    </row>
    <row r="19" spans="7:10" ht="15" customHeight="1" x14ac:dyDescent="0.3">
      <c r="G19" s="48">
        <f t="shared" si="1"/>
        <v>6</v>
      </c>
      <c r="H19" s="84" t="s">
        <v>2410</v>
      </c>
      <c r="I19" s="84"/>
      <c r="J19" s="84"/>
    </row>
    <row r="20" spans="7:10" ht="15" customHeight="1" x14ac:dyDescent="0.3">
      <c r="G20" s="48">
        <f t="shared" si="1"/>
        <v>7</v>
      </c>
      <c r="H20" s="84" t="s">
        <v>2411</v>
      </c>
      <c r="I20" s="152">
        <f>'Форма 4.1 расч.'!J31</f>
        <v>0</v>
      </c>
      <c r="J20" s="152">
        <f>'Форма 4.1 расч.'!K31</f>
        <v>0</v>
      </c>
    </row>
    <row r="21" spans="7:10" ht="15" customHeight="1" x14ac:dyDescent="0.3">
      <c r="G21" s="48">
        <f t="shared" si="1"/>
        <v>8</v>
      </c>
      <c r="H21" s="84" t="s">
        <v>2412</v>
      </c>
      <c r="I21" s="152">
        <f>I15*0.3+I16*0.3+I18*0.3+I20*0.1</f>
        <v>-0.89999999999999991</v>
      </c>
      <c r="J21" s="152">
        <f>J15*0.3+J16*0.3+J18*0.3+J20*0.1</f>
        <v>-0.89999999999999991</v>
      </c>
    </row>
    <row r="22" spans="7:10" ht="15" customHeight="1" x14ac:dyDescent="0.3">
      <c r="G22" s="48">
        <f t="shared" si="1"/>
        <v>9</v>
      </c>
      <c r="H22" s="84" t="s">
        <v>2413</v>
      </c>
      <c r="I22" s="237">
        <v>0.02</v>
      </c>
      <c r="J22" s="237">
        <v>0.02</v>
      </c>
    </row>
    <row r="23" spans="7:10" ht="33" customHeight="1" x14ac:dyDescent="0.3">
      <c r="G23" s="48">
        <f t="shared" si="1"/>
        <v>10</v>
      </c>
      <c r="H23" s="84" t="s">
        <v>2414</v>
      </c>
      <c r="I23" s="224">
        <f>IF(I21&gt;0,I21*I22*Q15,IF(Q15=1,I21*I22*Q15,-I21*I22*Q15))</f>
        <v>-1.7999999999999999E-2</v>
      </c>
      <c r="J23" s="224">
        <f>IF(J21&gt;0,J21*J22*Q15,IF(Q15=1,J21*J22*Q15,-J21*J22*Q15))</f>
        <v>-1.7999999999999999E-2</v>
      </c>
    </row>
    <row r="25" spans="7:10" ht="45" customHeight="1" x14ac:dyDescent="0.2">
      <c r="H25" s="22" t="str">
        <f>IF(LEN(ruk_dol)=0,"",ruk_dol)</f>
        <v>Исполнительный директор</v>
      </c>
      <c r="I25" s="214" t="str">
        <f>IF(LEN(ruk_FIO)=0,"",ruk_FIO)</f>
        <v>Иванов Илья Николаевич</v>
      </c>
      <c r="J25" s="214" t="str">
        <f>IF(LEN(ruk_FIO)=0,"",ruk_FIO)</f>
        <v>Иванов Илья Николаевич</v>
      </c>
    </row>
    <row r="26" spans="7:10" ht="22.5" customHeight="1" x14ac:dyDescent="0.3">
      <c r="H26" s="79" t="s">
        <v>1980</v>
      </c>
      <c r="I26" s="215" t="s">
        <v>2057</v>
      </c>
      <c r="J26" s="215" t="s">
        <v>2057</v>
      </c>
    </row>
  </sheetData>
  <sheetProtection formatColumns="0" formatRows="0" insertRows="0" deleteColumns="0" deleteRows="0" sort="0" autoFilter="0"/>
  <mergeCells count="3">
    <mergeCell ref="G11:I11"/>
    <mergeCell ref="M13:P13"/>
    <mergeCell ref="Q13:Q14"/>
  </mergeCells>
  <dataValidations count="1">
    <dataValidation type="whole" allowBlank="1" showErrorMessage="1" errorTitle="Ошибка" error="Допускается ввод только неотрицательных целых чисел!" sqref="M15:P15" xr:uid="{00000000-0002-0000-1200-000000000000}">
      <formula1>0</formula1>
      <formula2>9.99999999999999E+23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3C75-0458-8B07-9281-78BE0620AF8A}">
  <sheetPr>
    <tabColor rgb="FFFFCC99"/>
  </sheetPr>
  <dimension ref="A5:BO23"/>
  <sheetViews>
    <sheetView showGridLines="0" workbookViewId="0"/>
  </sheetViews>
  <sheetFormatPr defaultColWidth="9.109375" defaultRowHeight="11.25" customHeight="1" x14ac:dyDescent="0.3"/>
  <cols>
    <col min="1" max="1" width="11" customWidth="1"/>
    <col min="9" max="11" width="10.109375" customWidth="1"/>
    <col min="12" max="13" width="12.33203125" customWidth="1"/>
  </cols>
  <sheetData>
    <row r="5" spans="1:67" ht="15" customHeight="1" x14ac:dyDescent="0.3">
      <c r="A5" s="131" t="s">
        <v>222</v>
      </c>
    </row>
    <row r="6" spans="1:67" ht="20.25" customHeight="1" x14ac:dyDescent="0.3">
      <c r="G6" s="100" t="s">
        <v>223</v>
      </c>
      <c r="H6" s="124"/>
      <c r="I6" s="132"/>
    </row>
    <row r="12" spans="1:67" ht="11.25" customHeight="1" x14ac:dyDescent="0.3">
      <c r="A12" s="131" t="s">
        <v>224</v>
      </c>
    </row>
    <row r="13" spans="1:67" ht="15" customHeight="1" x14ac:dyDescent="0.2">
      <c r="F13" s="100" t="s">
        <v>223</v>
      </c>
      <c r="G13" s="49" t="s">
        <v>225</v>
      </c>
      <c r="H13" s="132"/>
      <c r="I13" s="133"/>
      <c r="J13" s="132"/>
      <c r="K13" s="134"/>
      <c r="L13" s="28"/>
      <c r="M13" s="28"/>
      <c r="N13" s="135"/>
      <c r="O13" s="136"/>
      <c r="P13" s="132"/>
      <c r="Q13" s="132"/>
      <c r="R13" s="132"/>
      <c r="S13" s="72">
        <f>T13+U13+V13+AA13</f>
        <v>0</v>
      </c>
      <c r="T13" s="88"/>
      <c r="U13" s="88"/>
      <c r="V13" s="88"/>
      <c r="W13" s="88"/>
      <c r="X13" s="88"/>
      <c r="Y13" s="88"/>
      <c r="Z13" s="72">
        <f>S13-W13-X13-Y13-AA13</f>
        <v>0</v>
      </c>
      <c r="AA13" s="88"/>
      <c r="AB13" s="137"/>
      <c r="AC13" s="132"/>
      <c r="AD13" s="138"/>
      <c r="AE13" s="138"/>
      <c r="AF13" s="138"/>
      <c r="AG13" s="139"/>
      <c r="AH13" s="138"/>
      <c r="AI13" s="140"/>
      <c r="AP13" s="141">
        <f>IF(AND(N13="В",AG13="1"),SUMPRODUCT(S13,O13),0)</f>
        <v>0</v>
      </c>
      <c r="AQ13" s="141">
        <f>IF(AND(N13="В",AG13="1"),S13,0)</f>
        <v>0</v>
      </c>
      <c r="AR13" s="141">
        <f>IF(N13="П",SUMPRODUCT(S13,O13),0)</f>
        <v>0</v>
      </c>
      <c r="AS13" s="141">
        <f>IF(N13="П",S13,0)</f>
        <v>0</v>
      </c>
      <c r="AW13" s="39">
        <f>L13</f>
        <v>0</v>
      </c>
      <c r="AX13" s="39">
        <f>M13</f>
        <v>0</v>
      </c>
      <c r="AY13" s="142">
        <f>N13</f>
        <v>0</v>
      </c>
      <c r="AZ13" s="143">
        <f>O13</f>
        <v>0</v>
      </c>
      <c r="BA13" s="72">
        <f>BB13+BC13+BD13+BI13</f>
        <v>0</v>
      </c>
      <c r="BB13" s="144">
        <f t="shared" ref="BB13:BG13" si="0">T13</f>
        <v>0</v>
      </c>
      <c r="BC13" s="145">
        <f t="shared" si="0"/>
        <v>0</v>
      </c>
      <c r="BD13" s="145">
        <f t="shared" si="0"/>
        <v>0</v>
      </c>
      <c r="BE13" s="145">
        <f t="shared" si="0"/>
        <v>0</v>
      </c>
      <c r="BF13" s="145">
        <f t="shared" si="0"/>
        <v>0</v>
      </c>
      <c r="BG13" s="145">
        <f t="shared" si="0"/>
        <v>0</v>
      </c>
      <c r="BH13" s="72">
        <f>BA13-BE13-BF13-BG13-BI13</f>
        <v>0</v>
      </c>
      <c r="BI13" s="145">
        <f>AA13</f>
        <v>0</v>
      </c>
      <c r="BJ13" s="146">
        <f>AG13</f>
        <v>0</v>
      </c>
      <c r="BK13" s="147"/>
      <c r="BL13" s="141">
        <f>IF(AND(AY13="В",BJ13="1"),SUMPRODUCT(AZ13,BA13),0)</f>
        <v>0</v>
      </c>
      <c r="BM13" s="141">
        <f>IF(AND(AY13="В",BJ13="1"),BA13,0)</f>
        <v>0</v>
      </c>
      <c r="BN13" s="141">
        <f>IF(AY13="П",SUMPRODUCT(AZ13,BA13),0)</f>
        <v>0</v>
      </c>
      <c r="BO13" s="141">
        <f>IF(AY13="П",BA13,0)</f>
        <v>0</v>
      </c>
    </row>
    <row r="16" spans="1:67" ht="11.25" customHeight="1" x14ac:dyDescent="0.3">
      <c r="A16" s="131" t="s">
        <v>226</v>
      </c>
    </row>
    <row r="18" spans="1:24" ht="15" customHeight="1" x14ac:dyDescent="0.3">
      <c r="F18" s="100" t="s">
        <v>223</v>
      </c>
      <c r="G18" s="49"/>
      <c r="H18" s="148"/>
      <c r="I18" s="149"/>
      <c r="J18" s="150"/>
      <c r="K18" s="150"/>
      <c r="L18" s="150"/>
      <c r="M18" s="151"/>
      <c r="N18" s="150"/>
      <c r="O18" s="151"/>
      <c r="P18" s="70">
        <f>Q18+R18+S18+X18</f>
        <v>0</v>
      </c>
      <c r="Q18" s="151"/>
      <c r="R18" s="151"/>
      <c r="S18" s="151"/>
      <c r="T18" s="151"/>
      <c r="U18" s="151"/>
      <c r="V18" s="151"/>
      <c r="W18" s="152">
        <f>P18-T18-U18-V18-X18</f>
        <v>0</v>
      </c>
      <c r="X18" s="151"/>
    </row>
    <row r="22" spans="1:24" ht="15" customHeight="1" x14ac:dyDescent="0.3">
      <c r="A22" s="131" t="s">
        <v>227</v>
      </c>
    </row>
    <row r="23" spans="1:24" ht="15" customHeight="1" x14ac:dyDescent="0.2">
      <c r="A23" s="99" t="b">
        <f>TRUE</f>
        <v>1</v>
      </c>
      <c r="E23" s="100" t="s">
        <v>223</v>
      </c>
      <c r="F23" s="101"/>
      <c r="G23" s="153"/>
      <c r="H23" s="103"/>
      <c r="I23" s="104"/>
    </row>
  </sheetData>
  <sheetProtection formatColumns="0" formatRows="0" insertRows="0" deleteColumns="0" deleteRows="0" sort="0" autoFilter="0"/>
  <dataValidations count="7">
    <dataValidation type="list" allowBlank="1" showInputMessage="1" showErrorMessage="1" errorTitle="Ошибка" sqref="H23" xr:uid="{00000000-0002-0000-0100-000000000000}">
      <formula1>doc_list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N13 AY13" xr:uid="{00000000-0002-0000-0100-000001000000}">
      <formula1>VID_END_EE</formula1>
    </dataValidation>
    <dataValidation type="list" allowBlank="1" showInputMessage="1" showErrorMessage="1" errorTitle="Ошибка" error="Выберите значение из списка" prompt="Выберите значение из списка" sqref="I13" xr:uid="{00000000-0002-0000-0100-000002000000}">
      <formula1>VID_OBJECT</formula1>
    </dataValidation>
    <dataValidation type="textLength" operator="lessThanOrEqual" allowBlank="1" showInputMessage="1" showErrorMessage="1" errorTitle="Ошибка" error="Допускается ввод не более 900 символов!" sqref="I6 G23 I23" xr:uid="{00000000-0002-0000-0100-000003000000}">
      <formula1>900</formula1>
    </dataValidation>
    <dataValidation type="list" allowBlank="1" showInputMessage="1" showErrorMessage="1" errorTitle="Ошибка" error="Выберите значение из списка" sqref="AE13" xr:uid="{00000000-0002-0000-0100-000004000000}">
      <formula1>f_8_1_ae</formula1>
    </dataValidation>
    <dataValidation type="list" allowBlank="1" showInputMessage="1" showErrorMessage="1" errorTitle="Ошибка" error="Выберите значение из списка" sqref="AG13 BJ13" xr:uid="{00000000-0002-0000-0100-000005000000}">
      <formula1>bln_binary</formula1>
    </dataValidation>
    <dataValidation type="list" allowBlank="1" showInputMessage="1" showErrorMessage="1" errorTitle="Ошибка" error="Выберите значение из списка" sqref="AI13" xr:uid="{00000000-0002-0000-0100-000006000000}">
      <formula1>doc_list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C679-8CDA-08B3-8BF6-EF481C944EE2}">
  <sheetPr>
    <tabColor theme="3" tint="0.79998168889431442"/>
  </sheetPr>
  <dimension ref="A1:P29"/>
  <sheetViews>
    <sheetView showGridLines="0" topLeftCell="F9" workbookViewId="0">
      <selection activeCell="K23" sqref="K23"/>
    </sheetView>
  </sheetViews>
  <sheetFormatPr defaultColWidth="9.109375" defaultRowHeight="11.25" customHeight="1" x14ac:dyDescent="0.3"/>
  <cols>
    <col min="1" max="5" width="9.109375" hidden="1"/>
    <col min="6" max="6" width="3.6640625" customWidth="1"/>
    <col min="7" max="7" width="6.5546875" customWidth="1"/>
    <col min="8" max="8" width="52.88671875" customWidth="1"/>
    <col min="9" max="9" width="15.109375" customWidth="1"/>
    <col min="10" max="11" width="13.6640625" customWidth="1"/>
    <col min="12" max="12" width="9.109375" hidden="1"/>
    <col min="13" max="13" width="15.109375" hidden="1" customWidth="1"/>
    <col min="14" max="15" width="13.6640625" hidden="1" customWidth="1"/>
    <col min="16" max="16" width="9.109375" hidden="1"/>
  </cols>
  <sheetData>
    <row r="1" spans="7:15" ht="10.5" hidden="1" customHeight="1" x14ac:dyDescent="0.2">
      <c r="M1" s="238" t="b">
        <f>REPORT_OWNER="Версия регулятора"</f>
        <v>0</v>
      </c>
      <c r="N1" s="238" t="b">
        <f>REPORT_OWNER="Версия регулятора"</f>
        <v>0</v>
      </c>
      <c r="O1" s="238" t="b">
        <f>REPORT_OWNER="Версия регулятора"</f>
        <v>0</v>
      </c>
    </row>
    <row r="2" spans="7:15" ht="10.5" hidden="1" customHeight="1" x14ac:dyDescent="0.3"/>
    <row r="3" spans="7:15" ht="10.5" hidden="1" customHeight="1" x14ac:dyDescent="0.3"/>
    <row r="4" spans="7:15" ht="10.5" hidden="1" customHeight="1" x14ac:dyDescent="0.3"/>
    <row r="5" spans="7:15" ht="10.5" hidden="1" customHeight="1" x14ac:dyDescent="0.3"/>
    <row r="6" spans="7:15" ht="10.5" hidden="1" customHeight="1" x14ac:dyDescent="0.3"/>
    <row r="7" spans="7:15" ht="10.5" hidden="1" customHeight="1" x14ac:dyDescent="0.3"/>
    <row r="8" spans="7:15" ht="10.5" hidden="1" customHeight="1" x14ac:dyDescent="0.3"/>
    <row r="9" spans="7:15" ht="10.5" customHeight="1" x14ac:dyDescent="0.3"/>
    <row r="10" spans="7:15" ht="24.75" customHeight="1" x14ac:dyDescent="0.3">
      <c r="G10" s="320" t="s">
        <v>2415</v>
      </c>
      <c r="H10" s="320"/>
      <c r="I10" s="320"/>
      <c r="J10" s="320"/>
      <c r="K10" s="320"/>
    </row>
    <row r="11" spans="7:15" ht="3.75" customHeight="1" x14ac:dyDescent="0.3">
      <c r="G11" s="276"/>
      <c r="H11" s="276"/>
      <c r="I11" s="276"/>
      <c r="J11" s="276"/>
      <c r="K11" s="276"/>
    </row>
    <row r="12" spans="7:15" ht="24" customHeight="1" x14ac:dyDescent="0.3">
      <c r="G12" s="303" t="s">
        <v>2112</v>
      </c>
      <c r="H12" s="303" t="s">
        <v>2416</v>
      </c>
      <c r="I12" s="317" t="str">
        <f>IF(FIRST_PERIOD_IN_FACT="","Не определено",FIRST_PERIOD_IN_FACT)&amp;" год"</f>
        <v>2022 год</v>
      </c>
      <c r="J12" s="317"/>
      <c r="K12" s="317"/>
      <c r="M12" s="344" t="str">
        <f>IF(FIRST_PERIOD_IN_FACT="","Не определено",FIRST_PERIOD_IN_FACT)&amp;" год"</f>
        <v>2022 год</v>
      </c>
      <c r="N12" s="344"/>
      <c r="O12" s="344"/>
    </row>
    <row r="13" spans="7:15" ht="51.75" customHeight="1" x14ac:dyDescent="0.3">
      <c r="G13" s="303"/>
      <c r="H13" s="303"/>
      <c r="I13" s="303" t="s">
        <v>2417</v>
      </c>
      <c r="J13" s="303" t="s">
        <v>2418</v>
      </c>
      <c r="K13" s="303"/>
      <c r="M13" s="303" t="s">
        <v>2417</v>
      </c>
      <c r="N13" s="303" t="s">
        <v>2418</v>
      </c>
      <c r="O13" s="303"/>
    </row>
    <row r="14" spans="7:15" ht="51.75" customHeight="1" x14ac:dyDescent="0.3">
      <c r="G14" s="303"/>
      <c r="H14" s="303"/>
      <c r="I14" s="303"/>
      <c r="J14" s="49" t="s">
        <v>2419</v>
      </c>
      <c r="K14" s="48" t="s">
        <v>2420</v>
      </c>
      <c r="M14" s="303"/>
      <c r="N14" s="49" t="s">
        <v>2419</v>
      </c>
      <c r="O14" s="48" t="s">
        <v>2420</v>
      </c>
    </row>
    <row r="15" spans="7:15" ht="6" customHeight="1" x14ac:dyDescent="0.3"/>
    <row r="16" spans="7:15" ht="25.5" customHeight="1" x14ac:dyDescent="0.3">
      <c r="G16" s="49" t="s">
        <v>45</v>
      </c>
      <c r="H16" s="148" t="s">
        <v>2421</v>
      </c>
      <c r="I16" s="239">
        <v>63.177</v>
      </c>
      <c r="J16" s="240" t="s">
        <v>2422</v>
      </c>
      <c r="K16" s="240" t="s">
        <v>2423</v>
      </c>
      <c r="M16" s="239"/>
      <c r="N16" s="240"/>
      <c r="O16" s="240"/>
    </row>
    <row r="17" spans="7:16" ht="25.5" customHeight="1" x14ac:dyDescent="0.3">
      <c r="G17" s="49" t="s">
        <v>2035</v>
      </c>
      <c r="H17" s="148" t="s">
        <v>2424</v>
      </c>
      <c r="I17" s="239">
        <v>49.512</v>
      </c>
      <c r="J17" s="240" t="s">
        <v>2422</v>
      </c>
      <c r="K17" s="240" t="s">
        <v>2423</v>
      </c>
      <c r="M17" s="239"/>
      <c r="N17" s="240"/>
      <c r="O17" s="240"/>
    </row>
    <row r="18" spans="7:16" ht="35.25" customHeight="1" x14ac:dyDescent="0.2">
      <c r="G18" s="49" t="s">
        <v>165</v>
      </c>
      <c r="H18" s="148" t="s">
        <v>2425</v>
      </c>
      <c r="I18" s="241">
        <f>IF(I16=0,0,I17/I16)</f>
        <v>0.78370292986371626</v>
      </c>
      <c r="J18" s="148"/>
      <c r="K18" s="148"/>
      <c r="L18" s="45">
        <f>IFERROR(I19/I16,0)</f>
        <v>4.6377637431343688</v>
      </c>
      <c r="M18" s="241">
        <f>IF(M16=0,0,M17/M16)</f>
        <v>0</v>
      </c>
      <c r="N18" s="148"/>
      <c r="O18" s="148"/>
      <c r="P18" s="45">
        <f>IFERROR(M19/M16,0)</f>
        <v>0</v>
      </c>
    </row>
    <row r="19" spans="7:16" ht="15" customHeight="1" x14ac:dyDescent="0.3">
      <c r="G19" s="49" t="s">
        <v>167</v>
      </c>
      <c r="H19" s="148" t="s">
        <v>2426</v>
      </c>
      <c r="I19" s="72">
        <f>'ф.8.3 Индикатив'!I15</f>
        <v>293</v>
      </c>
      <c r="J19" s="240" t="s">
        <v>2427</v>
      </c>
      <c r="K19" s="240" t="s">
        <v>2428</v>
      </c>
      <c r="M19" s="72">
        <f>'ф.8.3 Индикатив'!J15</f>
        <v>293</v>
      </c>
      <c r="N19" s="240"/>
      <c r="O19" s="240"/>
    </row>
    <row r="20" spans="7:16" ht="15" customHeight="1" x14ac:dyDescent="0.3">
      <c r="G20" s="49" t="s">
        <v>170</v>
      </c>
      <c r="H20" s="148" t="s">
        <v>2429</v>
      </c>
      <c r="I20" s="88">
        <v>188</v>
      </c>
      <c r="J20" s="240" t="s">
        <v>2422</v>
      </c>
      <c r="K20" s="240" t="s">
        <v>2423</v>
      </c>
      <c r="M20" s="88"/>
      <c r="N20" s="240"/>
      <c r="O20" s="240"/>
    </row>
    <row r="21" spans="7:16" ht="15" customHeight="1" x14ac:dyDescent="0.3">
      <c r="G21" s="49" t="s">
        <v>2049</v>
      </c>
      <c r="H21" s="148" t="s">
        <v>2430</v>
      </c>
      <c r="I21" s="239">
        <v>18.2</v>
      </c>
      <c r="J21" s="240" t="s">
        <v>2431</v>
      </c>
      <c r="K21" s="240" t="s">
        <v>2432</v>
      </c>
      <c r="M21" s="239"/>
      <c r="N21" s="240"/>
      <c r="O21" s="240"/>
    </row>
    <row r="22" spans="7:16" ht="25.5" customHeight="1" x14ac:dyDescent="0.3">
      <c r="G22" s="49" t="s">
        <v>2055</v>
      </c>
      <c r="H22" s="148" t="s">
        <v>2433</v>
      </c>
      <c r="I22" s="72">
        <f>MATCH(1,'Ф9.1Ф9.2'!$G$15:$G$23,0)</f>
        <v>5</v>
      </c>
      <c r="J22" s="148"/>
      <c r="K22" s="148"/>
      <c r="M22" s="72">
        <f>MATCH(1,'Ф9.1Ф9.2'!$L$15:$L$23,0)</f>
        <v>9</v>
      </c>
      <c r="N22" s="148"/>
      <c r="O22" s="148"/>
    </row>
    <row r="23" spans="7:16" ht="25.5" customHeight="1" x14ac:dyDescent="0.3">
      <c r="G23" s="49" t="s">
        <v>2325</v>
      </c>
      <c r="H23" s="148" t="s">
        <v>2434</v>
      </c>
      <c r="I23" s="72">
        <f>MATCH(1,'Ф9.1Ф9.2'!$G$30:$G$37,0)</f>
        <v>7</v>
      </c>
      <c r="J23" s="148"/>
      <c r="K23" s="148"/>
      <c r="M23" s="72">
        <f>MATCH(1,'Ф9.1Ф9.2'!$L$30:$L$37,0)</f>
        <v>8</v>
      </c>
      <c r="N23" s="148"/>
      <c r="O23" s="148"/>
    </row>
    <row r="24" spans="7:16" ht="11.25" customHeight="1" x14ac:dyDescent="0.3">
      <c r="G24" s="77"/>
      <c r="H24" s="185"/>
      <c r="I24" s="185"/>
      <c r="J24" s="185"/>
      <c r="K24" s="187"/>
      <c r="M24" s="185"/>
      <c r="N24" s="185"/>
      <c r="O24" s="187"/>
    </row>
    <row r="25" spans="7:16" ht="45" customHeight="1" x14ac:dyDescent="0.2">
      <c r="H25" s="22" t="str">
        <f>IF(LEN(ruk_dol)=0,"",ruk_dol)</f>
        <v>Исполнительный директор</v>
      </c>
      <c r="I25" s="299" t="str">
        <f>IF(LEN(ruk_FIO)=0,"",ruk_FIO)</f>
        <v>Иванов Илья Николаевич</v>
      </c>
      <c r="J25" s="299"/>
      <c r="K25" s="219"/>
      <c r="M25" s="299" t="str">
        <f>IF(LEN(ruk_FIO)=0,"",ruk_FIO)</f>
        <v>Иванов Илья Николаевич</v>
      </c>
      <c r="N25" s="299"/>
      <c r="O25" s="219"/>
    </row>
    <row r="26" spans="7:16" ht="11.25" customHeight="1" x14ac:dyDescent="0.3">
      <c r="H26" s="79" t="s">
        <v>1980</v>
      </c>
      <c r="I26" s="319" t="s">
        <v>2057</v>
      </c>
      <c r="J26" s="276"/>
      <c r="K26" s="220" t="s">
        <v>2058</v>
      </c>
      <c r="M26" s="319" t="s">
        <v>2057</v>
      </c>
      <c r="N26" s="276"/>
      <c r="O26" s="220" t="s">
        <v>2058</v>
      </c>
    </row>
    <row r="27" spans="7:16" ht="33" customHeight="1" x14ac:dyDescent="0.3">
      <c r="G27" s="89"/>
      <c r="H27" s="89"/>
      <c r="I27" s="76"/>
      <c r="J27" s="76"/>
      <c r="K27" s="76"/>
      <c r="M27" s="76"/>
      <c r="N27" s="76"/>
      <c r="O27" s="76"/>
    </row>
    <row r="28" spans="7:16" ht="11.25" customHeight="1" x14ac:dyDescent="0.3">
      <c r="G28" s="186"/>
      <c r="H28" s="185"/>
      <c r="I28" s="185"/>
      <c r="J28" s="185"/>
      <c r="M28" s="185"/>
      <c r="N28" s="185"/>
    </row>
    <row r="29" spans="7:16" ht="11.25" customHeight="1" x14ac:dyDescent="0.3">
      <c r="G29" s="298"/>
      <c r="H29" s="298"/>
      <c r="I29" s="76"/>
      <c r="J29" s="76"/>
      <c r="M29" s="76"/>
      <c r="N29" s="76"/>
    </row>
  </sheetData>
  <sheetProtection formatColumns="0" formatRows="0" insertRows="0" deleteColumns="0" deleteRows="0" sort="0" autoFilter="0"/>
  <mergeCells count="15">
    <mergeCell ref="M12:O12"/>
    <mergeCell ref="M13:M14"/>
    <mergeCell ref="N13:O13"/>
    <mergeCell ref="M25:N25"/>
    <mergeCell ref="M26:N26"/>
    <mergeCell ref="G10:K10"/>
    <mergeCell ref="G11:K11"/>
    <mergeCell ref="H12:H14"/>
    <mergeCell ref="G12:G14"/>
    <mergeCell ref="G29:H29"/>
    <mergeCell ref="I13:I14"/>
    <mergeCell ref="J13:K13"/>
    <mergeCell ref="I12:K12"/>
    <mergeCell ref="I25:J25"/>
    <mergeCell ref="I26:J26"/>
  </mergeCells>
  <dataValidations count="4">
    <dataValidation type="decimal" allowBlank="1" showErrorMessage="1" errorTitle="Ошибка" error="Некорректное значение! Проверьте данные в ячейках I16:I17." sqref="I18 M18" xr:uid="{00000000-0002-0000-1300-000000000000}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I19:I20 M19:M20 I22:I23 M22:M23" xr:uid="{00000000-0002-0000-1300-000001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6:K23 N16:O23" xr:uid="{00000000-0002-0000-1300-000009000000}">
      <formula1>900</formula1>
    </dataValidation>
    <dataValidation type="decimal" allowBlank="1" showErrorMessage="1" errorTitle="Ошибка" error="Допускается ввод только неотрицательных чисел!" sqref="I21 M21 I16:I17 M16:M17" xr:uid="{00000000-0002-0000-1300-00000A000000}">
      <formula1>0</formula1>
      <formula2>9.99999999999999E+23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7A5EB-F67C-B376-043B-EA67AB8B91CC}">
  <sheetPr>
    <tabColor theme="3" tint="0.79998168889431442"/>
  </sheetPr>
  <dimension ref="A1:T37"/>
  <sheetViews>
    <sheetView showGridLines="0" topLeftCell="D9" zoomScale="70" workbookViewId="0"/>
  </sheetViews>
  <sheetFormatPr defaultRowHeight="11.25" customHeight="1" x14ac:dyDescent="0.3"/>
  <cols>
    <col min="1" max="3" width="9.109375" hidden="1"/>
    <col min="4" max="5" width="3.6640625" customWidth="1"/>
    <col min="6" max="6" width="72.44140625" customWidth="1"/>
    <col min="7" max="11" width="13.6640625" customWidth="1"/>
    <col min="12" max="16" width="13.6640625" hidden="1" customWidth="1"/>
    <col min="17" max="17" width="22.6640625" customWidth="1"/>
    <col min="18" max="18" width="25.6640625" customWidth="1"/>
    <col min="19" max="20" width="20.5546875" customWidth="1"/>
  </cols>
  <sheetData>
    <row r="1" spans="5:20" ht="20.25" hidden="1" customHeight="1" x14ac:dyDescent="0.3">
      <c r="L1" s="43" t="b">
        <f>REPORT_OWNER="Версия регулятора"</f>
        <v>0</v>
      </c>
      <c r="M1" s="43" t="b">
        <f>REPORT_OWNER="Версия регулятора"</f>
        <v>0</v>
      </c>
      <c r="N1" s="43" t="b">
        <f>REPORT_OWNER="Версия регулятора"</f>
        <v>0</v>
      </c>
      <c r="O1" s="43" t="b">
        <f>REPORT_OWNER="Версия регулятора"</f>
        <v>0</v>
      </c>
      <c r="P1" s="43" t="b">
        <f>REPORT_OWNER="Версия регулятора"</f>
        <v>0</v>
      </c>
    </row>
    <row r="2" spans="5:20" ht="20.25" hidden="1" customHeight="1" x14ac:dyDescent="0.3"/>
    <row r="3" spans="5:20" ht="20.25" hidden="1" customHeight="1" x14ac:dyDescent="0.3"/>
    <row r="4" spans="5:20" ht="20.25" hidden="1" customHeight="1" x14ac:dyDescent="0.3"/>
    <row r="5" spans="5:20" ht="20.25" hidden="1" customHeight="1" x14ac:dyDescent="0.3"/>
    <row r="6" spans="5:20" ht="20.25" hidden="1" customHeight="1" x14ac:dyDescent="0.3"/>
    <row r="7" spans="5:20" ht="20.25" hidden="1" customHeight="1" x14ac:dyDescent="0.3"/>
    <row r="8" spans="5:20" ht="20.25" hidden="1" customHeight="1" x14ac:dyDescent="0.3"/>
    <row r="9" spans="5:20" ht="20.25" customHeight="1" x14ac:dyDescent="0.3"/>
    <row r="10" spans="5:20" ht="30" customHeight="1" x14ac:dyDescent="0.3">
      <c r="E10" s="346" t="s">
        <v>2435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</row>
    <row r="11" spans="5:20" ht="5.25" customHeight="1" x14ac:dyDescent="0.3"/>
    <row r="12" spans="5:20" ht="32.25" customHeight="1" x14ac:dyDescent="0.3">
      <c r="E12" s="303" t="s">
        <v>2112</v>
      </c>
      <c r="F12" s="347" t="s">
        <v>2436</v>
      </c>
      <c r="G12" s="303" t="s">
        <v>2437</v>
      </c>
      <c r="H12" s="303" t="s">
        <v>2438</v>
      </c>
      <c r="I12" s="303" t="s">
        <v>2439</v>
      </c>
      <c r="J12" s="303" t="s">
        <v>2440</v>
      </c>
      <c r="K12" s="303" t="s">
        <v>2441</v>
      </c>
      <c r="L12" s="349" t="s">
        <v>2127</v>
      </c>
      <c r="M12" s="350"/>
      <c r="N12" s="350"/>
      <c r="O12" s="350"/>
      <c r="P12" s="351"/>
      <c r="Q12" s="348" t="s">
        <v>2442</v>
      </c>
      <c r="R12" s="303" t="s">
        <v>2443</v>
      </c>
      <c r="S12" s="303" t="s">
        <v>2444</v>
      </c>
      <c r="T12" s="303"/>
    </row>
    <row r="13" spans="5:20" ht="15" customHeight="1" x14ac:dyDescent="0.3">
      <c r="E13" s="303"/>
      <c r="F13" s="347"/>
      <c r="G13" s="303"/>
      <c r="H13" s="303"/>
      <c r="I13" s="303"/>
      <c r="J13" s="303"/>
      <c r="K13" s="303"/>
      <c r="L13" s="242" t="s">
        <v>2437</v>
      </c>
      <c r="M13" s="242" t="s">
        <v>2438</v>
      </c>
      <c r="N13" s="242" t="s">
        <v>2439</v>
      </c>
      <c r="O13" s="242" t="s">
        <v>2440</v>
      </c>
      <c r="P13" s="242" t="s">
        <v>2441</v>
      </c>
      <c r="Q13" s="348"/>
      <c r="R13" s="303"/>
      <c r="S13" s="48" t="str">
        <f>IF(FIRST_PERIOD_IN_LT="","Не определено",FIRST_PERIOD_IN_LT)&amp;" год"</f>
        <v>2020 год</v>
      </c>
      <c r="T13" s="48" t="str">
        <f>IF(FIRST_PERIOD_IN_LT="","Не определено",FIRST_PERIOD_IN_LT+1)&amp;" год"</f>
        <v>2021 год</v>
      </c>
    </row>
    <row r="14" spans="5:20" ht="12" customHeight="1" x14ac:dyDescent="0.3">
      <c r="E14" s="243">
        <v>1</v>
      </c>
      <c r="F14" s="243">
        <v>2</v>
      </c>
      <c r="G14" s="243">
        <v>3</v>
      </c>
      <c r="H14" s="243">
        <v>4</v>
      </c>
      <c r="I14" s="243">
        <v>5</v>
      </c>
      <c r="J14" s="243">
        <v>6</v>
      </c>
      <c r="K14" s="243">
        <v>7</v>
      </c>
      <c r="Q14" s="243">
        <v>8</v>
      </c>
      <c r="R14" s="243">
        <v>9</v>
      </c>
      <c r="S14" s="243">
        <v>10</v>
      </c>
      <c r="T14" s="243">
        <v>11</v>
      </c>
    </row>
    <row r="15" spans="5:20" ht="25.5" customHeight="1" x14ac:dyDescent="0.3">
      <c r="E15" s="49">
        <v>1</v>
      </c>
      <c r="F15" s="84" t="s">
        <v>2445</v>
      </c>
      <c r="G15" s="27">
        <f>IF(SUM(H15,I15,J15)=3,1,0)</f>
        <v>0</v>
      </c>
      <c r="H15" s="27">
        <f>IF('ф.1.9 Характеристика'!$I$16&gt;=7500,1,0)</f>
        <v>0</v>
      </c>
      <c r="I15" s="27">
        <f>IF('ф.1.9 Характеристика'!$I$18&lt;0.1,1,0)</f>
        <v>0</v>
      </c>
      <c r="J15" s="31">
        <f>IF('ф.1.9 Характеристика'!I21&gt;=20,1,0)</f>
        <v>0</v>
      </c>
      <c r="K15" s="31" t="s">
        <v>2446</v>
      </c>
      <c r="L15" s="27">
        <f>IF(SUM(M15,N15,O15)=3,1,0)</f>
        <v>0</v>
      </c>
      <c r="M15" s="27">
        <f>IF('ф.1.9 Характеристика'!$M$16&gt;=7500,1,0)</f>
        <v>0</v>
      </c>
      <c r="N15" s="27">
        <f>IF('ф.1.9 Характеристика'!$M$18&lt;0.1,1,0)</f>
        <v>1</v>
      </c>
      <c r="O15" s="27">
        <f>IF('ф.1.9 Характеристика'!M21&gt;=20,1,0)</f>
        <v>0</v>
      </c>
      <c r="P15" s="31" t="s">
        <v>2446</v>
      </c>
      <c r="Q15" s="244">
        <v>9.6239000000000008</v>
      </c>
      <c r="R15" s="245">
        <v>9.2490000000000003E-2</v>
      </c>
      <c r="S15" s="245">
        <v>0.3</v>
      </c>
      <c r="T15" s="245">
        <v>0.3</v>
      </c>
    </row>
    <row r="16" spans="5:20" ht="25.5" customHeight="1" x14ac:dyDescent="0.3">
      <c r="E16" s="49">
        <v>2</v>
      </c>
      <c r="F16" s="84" t="s">
        <v>2447</v>
      </c>
      <c r="G16" s="27">
        <f>IF(SUM(H16,I16,J16,K16)=4,1,0)</f>
        <v>0</v>
      </c>
      <c r="H16" s="27">
        <f>IF('ф.1.9 Характеристика'!$I$16&gt;=7500,1,0)</f>
        <v>0</v>
      </c>
      <c r="I16" s="27">
        <f>IF('ф.1.9 Характеристика'!$I$18&lt;0.1,1,0)</f>
        <v>0</v>
      </c>
      <c r="J16" s="31">
        <f>IF('ф.1.9 Характеристика'!I21&lt;20,1,0)</f>
        <v>1</v>
      </c>
      <c r="K16" s="31">
        <f>IF('ф.1.9 Характеристика'!I20&lt;25000,1,0)</f>
        <v>1</v>
      </c>
      <c r="L16" s="27">
        <f>IF(SUM(M16,N16,O16,P16)=4,1,0)</f>
        <v>0</v>
      </c>
      <c r="M16" s="27">
        <f>IF('ф.1.9 Характеристика'!$M$16&gt;=7500,1,0)</f>
        <v>0</v>
      </c>
      <c r="N16" s="27">
        <f>IF('ф.1.9 Характеристика'!$M$18&lt;0.1,1,0)</f>
        <v>1</v>
      </c>
      <c r="O16" s="27">
        <f>IF('ф.1.9 Характеристика'!M21&lt;20,1,0)</f>
        <v>1</v>
      </c>
      <c r="P16" s="27">
        <f>IF('ф.1.9 Характеристика'!M20&lt;25000,1,0)</f>
        <v>1</v>
      </c>
      <c r="Q16" s="245">
        <v>4.7397600000000004</v>
      </c>
      <c r="R16" s="245">
        <v>8.9580000000000007E-2</v>
      </c>
      <c r="S16" s="245">
        <v>0.3</v>
      </c>
      <c r="T16" s="245">
        <v>0.3</v>
      </c>
    </row>
    <row r="17" spans="5:20" ht="25.5" customHeight="1" x14ac:dyDescent="0.3">
      <c r="E17" s="49" t="s">
        <v>165</v>
      </c>
      <c r="F17" s="84" t="s">
        <v>2448</v>
      </c>
      <c r="G17" s="27">
        <f>IF(SUM(H17,I17,J17)=3,1,0)</f>
        <v>0</v>
      </c>
      <c r="H17" s="27">
        <f>IF('ф.1.9 Характеристика'!$I$16&gt;=7500,1,0)</f>
        <v>0</v>
      </c>
      <c r="I17" s="27">
        <f>IF('ф.1.9 Характеристика'!$I$18&lt;0.1,1,0)</f>
        <v>0</v>
      </c>
      <c r="J17" s="31">
        <f>IF('ф.1.9 Характеристика'!I21&lt;20,1,0)</f>
        <v>1</v>
      </c>
      <c r="K17" s="27">
        <f>IF('ф.1.9 Характеристика'!I20&gt;=25000,1,0)</f>
        <v>0</v>
      </c>
      <c r="L17" s="27">
        <f>IF(SUM(M17,N17,O17)=3,1,0)</f>
        <v>0</v>
      </c>
      <c r="M17" s="27">
        <f>IF('ф.1.9 Характеристика'!$M$16&gt;=7500,1,0)</f>
        <v>0</v>
      </c>
      <c r="N17" s="27">
        <f>IF('ф.1.9 Характеристика'!$M$18&lt;0.1,1,0)</f>
        <v>1</v>
      </c>
      <c r="O17" s="27">
        <f>IF('ф.1.9 Характеристика'!M21&lt;20,1,0)</f>
        <v>1</v>
      </c>
      <c r="P17" s="31" t="s">
        <v>2446</v>
      </c>
      <c r="Q17" s="245">
        <v>2.9252099999999999</v>
      </c>
      <c r="R17" s="245">
        <v>9.1189999999999993E-2</v>
      </c>
      <c r="S17" s="245">
        <v>0.3</v>
      </c>
      <c r="T17" s="245">
        <v>0.3</v>
      </c>
    </row>
    <row r="18" spans="5:20" ht="15" customHeight="1" x14ac:dyDescent="0.3">
      <c r="E18" s="49" t="s">
        <v>167</v>
      </c>
      <c r="F18" s="84" t="s">
        <v>2449</v>
      </c>
      <c r="G18" s="27">
        <f>IF(SUM(H18,I18,)=2,1,0)</f>
        <v>0</v>
      </c>
      <c r="H18" s="27">
        <f>IF('ф.1.9 Характеристика'!$I$16&gt;=7500,1,0)</f>
        <v>0</v>
      </c>
      <c r="I18" s="27">
        <f>IF(OR('ф.1.9 Характеристика'!$I$18&gt;0.1,'ф.1.9 Характеристика'!$I$18=0.1),1,0)</f>
        <v>1</v>
      </c>
      <c r="J18" s="31" t="s">
        <v>2446</v>
      </c>
      <c r="K18" s="31" t="s">
        <v>2446</v>
      </c>
      <c r="L18" s="27">
        <f>IF(SUM(M18,N18,)=2,1,0)</f>
        <v>0</v>
      </c>
      <c r="M18" s="27">
        <f>IF('ф.1.9 Характеристика'!$M$16&gt;=7500,1,0)</f>
        <v>0</v>
      </c>
      <c r="N18" s="27">
        <f>IF(OR('ф.1.9 Характеристика'!$M$18&gt;0.1,'ф.1.9 Характеристика'!$M$18=0.1),1,0)</f>
        <v>0</v>
      </c>
      <c r="O18" s="31" t="s">
        <v>2446</v>
      </c>
      <c r="P18" s="31" t="s">
        <v>2446</v>
      </c>
      <c r="Q18" s="245">
        <v>3.3357999999999999</v>
      </c>
      <c r="R18" s="245">
        <v>0.13389999999999999</v>
      </c>
      <c r="S18" s="245">
        <v>0.3</v>
      </c>
      <c r="T18" s="245">
        <v>0.3</v>
      </c>
    </row>
    <row r="19" spans="5:20" ht="15" customHeight="1" x14ac:dyDescent="0.3">
      <c r="E19" s="49" t="s">
        <v>170</v>
      </c>
      <c r="F19" s="84" t="s">
        <v>2450</v>
      </c>
      <c r="G19" s="27">
        <f>IF(SUM(H19,I19,)=2,1,0)</f>
        <v>1</v>
      </c>
      <c r="H19" s="27">
        <f>IF(AND('ф.1.9 Характеристика'!$I$16&gt;=10,'ф.1.9 Характеристика'!$I$16&lt;7500),1,0)</f>
        <v>1</v>
      </c>
      <c r="I19" s="27">
        <f>IF(OR('ф.1.9 Характеристика'!$I$18&gt;0.3,'ф.1.9 Характеристика'!$I$18=0.3),1,0)</f>
        <v>1</v>
      </c>
      <c r="J19" s="31" t="s">
        <v>2446</v>
      </c>
      <c r="K19" s="31" t="s">
        <v>2446</v>
      </c>
      <c r="L19" s="27">
        <f>IF(SUM(M19,N19,)=2,1,0)</f>
        <v>0</v>
      </c>
      <c r="M19" s="27">
        <f>IF(AND('ф.1.9 Характеристика'!$M$16&gt;=10,'ф.1.9 Характеристика'!$M$16&lt;7500),1,0)</f>
        <v>0</v>
      </c>
      <c r="N19" s="27">
        <f>IF(OR('ф.1.9 Характеристика'!$M$18&gt;0.3,'ф.1.9 Характеристика'!$M$18=0.3),1,0)</f>
        <v>0</v>
      </c>
      <c r="O19" s="31" t="s">
        <v>2446</v>
      </c>
      <c r="P19" s="31" t="s">
        <v>2446</v>
      </c>
      <c r="Q19" s="245">
        <v>2.3309799999999998</v>
      </c>
      <c r="R19" s="245">
        <v>0.21967999999999999</v>
      </c>
      <c r="S19" s="245">
        <v>0.3</v>
      </c>
      <c r="T19" s="245">
        <v>0.3</v>
      </c>
    </row>
    <row r="20" spans="5:20" ht="25.5" customHeight="1" x14ac:dyDescent="0.3">
      <c r="E20" s="49" t="s">
        <v>2049</v>
      </c>
      <c r="F20" s="84" t="s">
        <v>2451</v>
      </c>
      <c r="G20" s="27">
        <f>IF(SUM(H20,I20,J20,K20)=4,1,0)</f>
        <v>0</v>
      </c>
      <c r="H20" s="27">
        <f>IF(AND('ф.1.9 Характеристика'!$I$16&gt;=10,'ф.1.9 Характеристика'!$I$16&lt;7500),1,0)</f>
        <v>1</v>
      </c>
      <c r="I20" s="27">
        <f>IF('ф.1.9 Характеристика'!$I$18&lt;0.3,1,0)</f>
        <v>0</v>
      </c>
      <c r="J20" s="27">
        <f>IF('ф.1.9 Характеристика'!$L$18&lt;20,1,0)</f>
        <v>1</v>
      </c>
      <c r="K20" s="27">
        <f>IF('ф.1.9 Характеристика'!I19&lt;10000,1,0)</f>
        <v>1</v>
      </c>
      <c r="L20" s="27">
        <f>IF(SUM(M20,N20,O20,P20)=4,1,0)</f>
        <v>0</v>
      </c>
      <c r="M20" s="27">
        <f>IF(AND('ф.1.9 Характеристика'!$M$16&gt;=10,'ф.1.9 Характеристика'!$M$16&lt;7500),1,0)</f>
        <v>0</v>
      </c>
      <c r="N20" s="27">
        <f>IF('ф.1.9 Характеристика'!$M$18&lt;0.3,1,0)</f>
        <v>1</v>
      </c>
      <c r="O20" s="27">
        <f>IF('ф.1.9 Характеристика'!$P$18&lt;20,1,0)</f>
        <v>1</v>
      </c>
      <c r="P20" s="27">
        <f>IF('ф.1.9 Характеристика'!M19&lt;10000,1,0)</f>
        <v>1</v>
      </c>
      <c r="Q20" s="245">
        <v>4.5054600000000002</v>
      </c>
      <c r="R20" s="245">
        <v>0.28361999999999998</v>
      </c>
      <c r="S20" s="245">
        <v>0.3</v>
      </c>
      <c r="T20" s="245">
        <v>0.3</v>
      </c>
    </row>
    <row r="21" spans="5:20" ht="25.5" customHeight="1" x14ac:dyDescent="0.3">
      <c r="E21" s="49" t="s">
        <v>2055</v>
      </c>
      <c r="F21" s="84" t="s">
        <v>2452</v>
      </c>
      <c r="G21" s="27">
        <f>IF(SUM(H21,I21,J21,K21)=4,1,0)</f>
        <v>0</v>
      </c>
      <c r="H21" s="27">
        <f>IF(AND('ф.1.9 Характеристика'!$I$16&gt;=10,'ф.1.9 Характеристика'!$I$16&lt;7500),1,0)</f>
        <v>1</v>
      </c>
      <c r="I21" s="27">
        <f>IF('ф.1.9 Характеристика'!$I$18&lt;0.3,1,0)</f>
        <v>0</v>
      </c>
      <c r="J21" s="27">
        <f>IF('ф.1.9 Характеристика'!$L$18&lt;20,1,0)</f>
        <v>1</v>
      </c>
      <c r="K21" s="27">
        <f>IF('ф.1.9 Характеристика'!I19&gt;=10000,1,0)</f>
        <v>0</v>
      </c>
      <c r="L21" s="27">
        <f>IF(SUM(M21,N21,O21,P21)=4,1,0)</f>
        <v>0</v>
      </c>
      <c r="M21" s="27">
        <f>IF(AND('ф.1.9 Характеристика'!$M$16&gt;=10,'ф.1.9 Характеристика'!$M$16&lt;7500),1,0)</f>
        <v>0</v>
      </c>
      <c r="N21" s="27">
        <f>IF('ф.1.9 Характеристика'!$M$18&lt;0.3,1,0)</f>
        <v>1</v>
      </c>
      <c r="O21" s="27">
        <f>IF('ф.1.9 Характеристика'!$P$18&lt;20,1,0)</f>
        <v>1</v>
      </c>
      <c r="P21" s="27">
        <f>IF('ф.1.9 Характеристика'!M19&gt;=10000,1,0)</f>
        <v>0</v>
      </c>
      <c r="Q21" s="245">
        <v>6.1130899999999997</v>
      </c>
      <c r="R21" s="245">
        <v>0.1817</v>
      </c>
      <c r="S21" s="245">
        <v>0.3</v>
      </c>
      <c r="T21" s="245">
        <v>0.3</v>
      </c>
    </row>
    <row r="22" spans="5:20" ht="25.5" customHeight="1" x14ac:dyDescent="0.3">
      <c r="E22" s="49" t="s">
        <v>2325</v>
      </c>
      <c r="F22" s="84" t="s">
        <v>2453</v>
      </c>
      <c r="G22" s="27">
        <f>IF(SUM(H22,I22,J22)=3,1,0)</f>
        <v>0</v>
      </c>
      <c r="H22" s="27">
        <f>IF(AND('ф.1.9 Характеристика'!$I$16&gt;=10,'ф.1.9 Характеристика'!$I$16&lt;7500),1,0)</f>
        <v>1</v>
      </c>
      <c r="I22" s="27">
        <f>IF('ф.1.9 Характеристика'!$I$18&lt;0.3,1,0)</f>
        <v>0</v>
      </c>
      <c r="J22" s="27">
        <f>IF('ф.1.9 Характеристика'!$L$18&gt;=20,1,0)</f>
        <v>0</v>
      </c>
      <c r="K22" s="31" t="s">
        <v>2446</v>
      </c>
      <c r="L22" s="27">
        <f>IF(SUM(M22,N22,O22)=3,1,0)</f>
        <v>0</v>
      </c>
      <c r="M22" s="27">
        <f>IF(AND('ф.1.9 Характеристика'!$M$16&gt;=10,'ф.1.9 Характеристика'!$M$16&lt;7500),1,0)</f>
        <v>0</v>
      </c>
      <c r="N22" s="27">
        <f>IF('ф.1.9 Характеристика'!$M$18&lt;0.3,1,0)</f>
        <v>1</v>
      </c>
      <c r="O22" s="27">
        <f>IF('ф.1.9 Характеристика'!$P$18&gt;=20,1,0)</f>
        <v>0</v>
      </c>
      <c r="P22" s="31" t="s">
        <v>2446</v>
      </c>
      <c r="Q22" s="245">
        <v>5.8507600000000002</v>
      </c>
      <c r="R22" s="245">
        <v>0.18958</v>
      </c>
      <c r="S22" s="245">
        <v>0.3</v>
      </c>
      <c r="T22" s="245">
        <v>0.3</v>
      </c>
    </row>
    <row r="23" spans="5:20" ht="15" customHeight="1" x14ac:dyDescent="0.3">
      <c r="E23" s="49" t="s">
        <v>2328</v>
      </c>
      <c r="F23" s="84" t="s">
        <v>2454</v>
      </c>
      <c r="G23" s="27">
        <f>H23</f>
        <v>0</v>
      </c>
      <c r="H23" s="27">
        <f>IF('ф.1.9 Характеристика'!$I$16&lt;10,1,0)</f>
        <v>0</v>
      </c>
      <c r="I23" s="31" t="s">
        <v>2446</v>
      </c>
      <c r="J23" s="31" t="s">
        <v>2446</v>
      </c>
      <c r="K23" s="31" t="s">
        <v>2446</v>
      </c>
      <c r="L23" s="27">
        <f>M23</f>
        <v>1</v>
      </c>
      <c r="M23" s="27">
        <f>IF('ф.1.9 Характеристика'!$M$16&lt;10,1,0)</f>
        <v>1</v>
      </c>
      <c r="N23" s="31" t="s">
        <v>2446</v>
      </c>
      <c r="O23" s="31" t="s">
        <v>2446</v>
      </c>
      <c r="P23" s="31" t="s">
        <v>2446</v>
      </c>
      <c r="Q23" s="245">
        <v>1.3036799999999999</v>
      </c>
      <c r="R23" s="245">
        <v>0.19006999999999999</v>
      </c>
      <c r="S23" s="245">
        <v>0.3</v>
      </c>
      <c r="T23" s="245">
        <v>0.3</v>
      </c>
    </row>
    <row r="24" spans="5:20" ht="15" customHeight="1" x14ac:dyDescent="0.3"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R24" s="247"/>
      <c r="S24" s="247"/>
      <c r="T24" s="247"/>
    </row>
    <row r="25" spans="5:20" ht="30" customHeight="1" x14ac:dyDescent="0.3">
      <c r="E25" s="346" t="s">
        <v>2455</v>
      </c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5:20" ht="5.25" customHeight="1" x14ac:dyDescent="0.3"/>
    <row r="27" spans="5:20" ht="40.5" customHeight="1" x14ac:dyDescent="0.3">
      <c r="E27" s="303" t="s">
        <v>2112</v>
      </c>
      <c r="F27" s="347" t="s">
        <v>2436</v>
      </c>
      <c r="G27" s="303" t="s">
        <v>2437</v>
      </c>
      <c r="H27" s="303" t="s">
        <v>2438</v>
      </c>
      <c r="I27" s="303" t="s">
        <v>2439</v>
      </c>
      <c r="J27" s="304"/>
      <c r="K27" s="304"/>
      <c r="L27" s="303" t="s">
        <v>2437</v>
      </c>
      <c r="M27" s="303" t="s">
        <v>2438</v>
      </c>
      <c r="N27" s="303" t="s">
        <v>2439</v>
      </c>
      <c r="O27" s="304"/>
      <c r="P27" s="304"/>
      <c r="Q27" s="303" t="s">
        <v>2442</v>
      </c>
      <c r="R27" s="303" t="s">
        <v>2443</v>
      </c>
      <c r="S27" s="303" t="s">
        <v>2444</v>
      </c>
      <c r="T27" s="303"/>
    </row>
    <row r="28" spans="5:20" ht="15" customHeight="1" x14ac:dyDescent="0.3">
      <c r="E28" s="303"/>
      <c r="F28" s="347"/>
      <c r="G28" s="303"/>
      <c r="H28" s="303"/>
      <c r="I28" s="303"/>
      <c r="J28" s="316"/>
      <c r="K28" s="316"/>
      <c r="L28" s="303"/>
      <c r="M28" s="303"/>
      <c r="N28" s="303"/>
      <c r="O28" s="316"/>
      <c r="P28" s="316"/>
      <c r="Q28" s="303"/>
      <c r="R28" s="303"/>
      <c r="S28" s="48" t="str">
        <f>IF(FIRST_PERIOD_IN_LT="","Не определено",FIRST_PERIOD_IN_LT)&amp;" год"</f>
        <v>2020 год</v>
      </c>
      <c r="T28" s="48" t="str">
        <f>IF(FIRST_PERIOD_IN_LT="","Не определено",FIRST_PERIOD_IN_LT+1)&amp;" год"</f>
        <v>2021 год</v>
      </c>
    </row>
    <row r="29" spans="5:20" ht="12" customHeight="1" x14ac:dyDescent="0.3">
      <c r="E29" s="243">
        <v>1</v>
      </c>
      <c r="F29" s="243">
        <v>2</v>
      </c>
      <c r="G29" s="243">
        <v>3</v>
      </c>
      <c r="H29" s="243">
        <v>4</v>
      </c>
      <c r="I29" s="243">
        <v>5</v>
      </c>
      <c r="J29" s="243">
        <v>6</v>
      </c>
      <c r="K29" s="243">
        <v>7</v>
      </c>
      <c r="Q29" s="243">
        <v>8</v>
      </c>
      <c r="R29" s="243">
        <v>9</v>
      </c>
      <c r="S29" s="243">
        <v>10</v>
      </c>
      <c r="T29" s="243">
        <v>11</v>
      </c>
    </row>
    <row r="30" spans="5:20" ht="15" customHeight="1" x14ac:dyDescent="0.3">
      <c r="E30" s="49">
        <v>1</v>
      </c>
      <c r="F30" s="84" t="s">
        <v>2456</v>
      </c>
      <c r="G30" s="27">
        <f t="shared" ref="G30:G35" si="0">IF(SUM(H30,I30,)=2,1,0)</f>
        <v>0</v>
      </c>
      <c r="H30" s="27">
        <f>IF('ф.1.9 Характеристика'!$I$16&gt;=7500,1,0)</f>
        <v>0</v>
      </c>
      <c r="I30" s="27">
        <f>IF('ф.1.9 Характеристика'!$I$18&lt;0.1,1,0)</f>
        <v>0</v>
      </c>
      <c r="J30" s="148"/>
      <c r="K30" s="148"/>
      <c r="L30" s="27">
        <f t="shared" ref="L30:L35" si="1">IF(SUM(M30,N30,)=2,1,0)</f>
        <v>0</v>
      </c>
      <c r="M30" s="27">
        <f>IF('ф.1.9 Характеристика'!$M$16&gt;=7500,1,0)</f>
        <v>0</v>
      </c>
      <c r="N30" s="27">
        <f>IF('ф.1.9 Характеристика'!$M$18&lt;0.1,1,0)</f>
        <v>1</v>
      </c>
      <c r="O30" s="148"/>
      <c r="P30" s="148"/>
      <c r="Q30" s="245">
        <v>1.9674400000000001</v>
      </c>
      <c r="R30" s="245">
        <v>7.9000000000000001E-2</v>
      </c>
      <c r="S30" s="245">
        <v>0.3</v>
      </c>
      <c r="T30" s="245">
        <v>0.3</v>
      </c>
    </row>
    <row r="31" spans="5:20" ht="15" customHeight="1" x14ac:dyDescent="0.3">
      <c r="E31" s="49">
        <v>2</v>
      </c>
      <c r="F31" s="84" t="s">
        <v>2449</v>
      </c>
      <c r="G31" s="27">
        <f t="shared" si="0"/>
        <v>0</v>
      </c>
      <c r="H31" s="27">
        <f>IF('ф.1.9 Характеристика'!$I$16&gt;=7500,1,0)</f>
        <v>0</v>
      </c>
      <c r="I31" s="27">
        <f>IF(OR('ф.1.9 Характеристика'!$I$18&gt;0.1,'ф.1.9 Характеристика'!$I$18=0.1),1,0)</f>
        <v>1</v>
      </c>
      <c r="J31" s="148"/>
      <c r="K31" s="148"/>
      <c r="L31" s="27">
        <f t="shared" si="1"/>
        <v>0</v>
      </c>
      <c r="M31" s="27">
        <f>IF('ф.1.9 Характеристика'!$M$16&gt;=7500,1,0)</f>
        <v>0</v>
      </c>
      <c r="N31" s="27">
        <f>IF(OR('ф.1.9 Характеристика'!$M$18&gt;0.1,'ф.1.9 Характеристика'!$M$18=0.1),1,0)</f>
        <v>0</v>
      </c>
      <c r="O31" s="148"/>
      <c r="P31" s="148"/>
      <c r="Q31" s="245">
        <v>1.2335499999999999</v>
      </c>
      <c r="R31" s="245">
        <v>0.13947999999999999</v>
      </c>
      <c r="S31" s="245">
        <v>0.3</v>
      </c>
      <c r="T31" s="245">
        <v>0.3</v>
      </c>
    </row>
    <row r="32" spans="5:20" ht="15" customHeight="1" x14ac:dyDescent="0.3">
      <c r="E32" s="49" t="s">
        <v>165</v>
      </c>
      <c r="F32" s="84" t="s">
        <v>2457</v>
      </c>
      <c r="G32" s="27">
        <f t="shared" si="0"/>
        <v>0</v>
      </c>
      <c r="H32" s="27">
        <f>IF(AND('ф.1.9 Характеристика'!$I$16&gt;=3000,'ф.1.9 Характеристика'!$I$16&lt;7500),1,0)</f>
        <v>0</v>
      </c>
      <c r="I32" s="27">
        <f>IF('ф.1.9 Характеристика'!$I$18&lt;0.15,1,0)</f>
        <v>0</v>
      </c>
      <c r="J32" s="148"/>
      <c r="K32" s="148"/>
      <c r="L32" s="27">
        <f t="shared" si="1"/>
        <v>0</v>
      </c>
      <c r="M32" s="27">
        <f>IF(AND('ф.1.9 Характеристика'!$M$16&gt;=3000,'ф.1.9 Характеристика'!$M$16&lt;7500),1,0)</f>
        <v>0</v>
      </c>
      <c r="N32" s="27">
        <f>IF('ф.1.9 Характеристика'!$M$18&lt;0.15,1,0)</f>
        <v>1</v>
      </c>
      <c r="O32" s="148"/>
      <c r="P32" s="148"/>
      <c r="Q32" s="245">
        <v>1.78816</v>
      </c>
      <c r="R32" s="245">
        <v>0.14552999999999999</v>
      </c>
      <c r="S32" s="245">
        <v>0.3</v>
      </c>
      <c r="T32" s="245">
        <v>0.3</v>
      </c>
    </row>
    <row r="33" spans="5:20" ht="15" customHeight="1" x14ac:dyDescent="0.3">
      <c r="E33" s="49" t="s">
        <v>167</v>
      </c>
      <c r="F33" s="84" t="s">
        <v>2458</v>
      </c>
      <c r="G33" s="27">
        <f t="shared" si="0"/>
        <v>0</v>
      </c>
      <c r="H33" s="27">
        <f>IF(AND('ф.1.9 Характеристика'!$I$16&gt;=3000,'ф.1.9 Характеристика'!$I$16&lt;7500),1,0)</f>
        <v>0</v>
      </c>
      <c r="I33" s="27">
        <f>IF(OR('ф.1.9 Характеристика'!$I$18&gt;0.15,'ф.1.9 Характеристика'!$I$18=0.15),1,0)</f>
        <v>1</v>
      </c>
      <c r="J33" s="148"/>
      <c r="K33" s="148"/>
      <c r="L33" s="27">
        <f t="shared" si="1"/>
        <v>0</v>
      </c>
      <c r="M33" s="27">
        <f>IF(AND('ф.1.9 Характеристика'!$M$16&gt;=3000,'ф.1.9 Характеристика'!$M$16&lt;7500),1,0)</f>
        <v>0</v>
      </c>
      <c r="N33" s="27">
        <f>IF(OR('ф.1.9 Характеристика'!$M$18&gt;0.15,'ф.1.9 Характеристика'!$M$18=0.15),1,0)</f>
        <v>0</v>
      </c>
      <c r="O33" s="148"/>
      <c r="P33" s="148"/>
      <c r="Q33" s="245">
        <v>0.75107999999999997</v>
      </c>
      <c r="R33" s="245">
        <v>0.17702000000000001</v>
      </c>
      <c r="S33" s="245">
        <v>0.3</v>
      </c>
      <c r="T33" s="245">
        <v>0.3</v>
      </c>
    </row>
    <row r="34" spans="5:20" ht="15" customHeight="1" x14ac:dyDescent="0.3">
      <c r="E34" s="49" t="s">
        <v>170</v>
      </c>
      <c r="F34" s="84" t="s">
        <v>2459</v>
      </c>
      <c r="G34" s="27">
        <f t="shared" si="0"/>
        <v>0</v>
      </c>
      <c r="H34" s="27">
        <f>IF(AND('ф.1.9 Характеристика'!$I$16&gt;=100,'ф.1.9 Характеристика'!$I$16&lt;3000),1,0)</f>
        <v>0</v>
      </c>
      <c r="I34" s="27">
        <f>IF(OR('ф.1.9 Характеристика'!$I$18&gt;0.35,'ф.1.9 Характеристика'!$I$18=0.35),1,0)</f>
        <v>1</v>
      </c>
      <c r="J34" s="148"/>
      <c r="K34" s="148"/>
      <c r="L34" s="27">
        <f t="shared" si="1"/>
        <v>0</v>
      </c>
      <c r="M34" s="27">
        <f>IF(AND('ф.1.9 Характеристика'!$M$16&gt;=100,'ф.1.9 Характеристика'!$M$16&lt;3000),1,0)</f>
        <v>0</v>
      </c>
      <c r="N34" s="27">
        <f>IF(OR('ф.1.9 Характеристика'!$M$18&gt;0.35,'ф.1.9 Характеристика'!$M$18=0.35),1,0)</f>
        <v>0</v>
      </c>
      <c r="O34" s="148"/>
      <c r="P34" s="148"/>
      <c r="Q34" s="245">
        <v>0.56438999999999995</v>
      </c>
      <c r="R34" s="245">
        <v>0.17379</v>
      </c>
      <c r="S34" s="245">
        <v>0.3</v>
      </c>
      <c r="T34" s="245">
        <v>0.3</v>
      </c>
    </row>
    <row r="35" spans="5:20" ht="15" customHeight="1" x14ac:dyDescent="0.3">
      <c r="E35" s="49" t="s">
        <v>2049</v>
      </c>
      <c r="F35" s="84" t="s">
        <v>2460</v>
      </c>
      <c r="G35" s="27">
        <f t="shared" si="0"/>
        <v>0</v>
      </c>
      <c r="H35" s="27">
        <f>IF(AND('ф.1.9 Характеристика'!$I$16&gt;=100,'ф.1.9 Характеристика'!$I$16&lt;3000),1,0)</f>
        <v>0</v>
      </c>
      <c r="I35" s="27">
        <f>IF('ф.1.9 Характеристика'!$I$18&lt;0.35,1,0)</f>
        <v>0</v>
      </c>
      <c r="J35" s="148"/>
      <c r="K35" s="148"/>
      <c r="L35" s="27">
        <f t="shared" si="1"/>
        <v>0</v>
      </c>
      <c r="M35" s="27">
        <f>IF(AND('ф.1.9 Характеристика'!$M$16&gt;=100,'ф.1.9 Характеристика'!$M$16&lt;3000),1,0)</f>
        <v>0</v>
      </c>
      <c r="N35" s="27">
        <f>IF('ф.1.9 Характеристика'!$M$18&lt;0.35,1,0)</f>
        <v>1</v>
      </c>
      <c r="O35" s="148"/>
      <c r="P35" s="148"/>
      <c r="Q35" s="245">
        <v>1.0079499999999999</v>
      </c>
      <c r="R35" s="245">
        <v>0.16106999999999999</v>
      </c>
      <c r="S35" s="245">
        <v>0.3</v>
      </c>
      <c r="T35" s="245">
        <v>0.3</v>
      </c>
    </row>
    <row r="36" spans="5:20" ht="15" customHeight="1" x14ac:dyDescent="0.3">
      <c r="E36" s="49" t="s">
        <v>2055</v>
      </c>
      <c r="F36" s="84" t="s">
        <v>2461</v>
      </c>
      <c r="G36" s="27">
        <f>H36</f>
        <v>1</v>
      </c>
      <c r="H36" s="27">
        <f>IF(AND('ф.1.9 Характеристика'!$I$16&gt;=10,'ф.1.9 Характеристика'!$I$16&lt;100),1,0)</f>
        <v>1</v>
      </c>
      <c r="I36" s="31" t="s">
        <v>2446</v>
      </c>
      <c r="J36" s="148"/>
      <c r="K36" s="148"/>
      <c r="L36" s="27">
        <f>M36</f>
        <v>0</v>
      </c>
      <c r="M36" s="27">
        <f>IF(AND('ф.1.9 Характеристика'!$M$16&gt;=10,'ф.1.9 Характеристика'!$M$16&lt;100),1,0)</f>
        <v>0</v>
      </c>
      <c r="N36" s="31" t="s">
        <v>2446</v>
      </c>
      <c r="O36" s="148"/>
      <c r="P36" s="148"/>
      <c r="Q36" s="245">
        <v>0.78503000000000001</v>
      </c>
      <c r="R36" s="245">
        <v>0.24091000000000001</v>
      </c>
      <c r="S36" s="245">
        <v>0.3</v>
      </c>
      <c r="T36" s="245">
        <v>0.3</v>
      </c>
    </row>
    <row r="37" spans="5:20" ht="15" customHeight="1" x14ac:dyDescent="0.3">
      <c r="E37" s="49" t="s">
        <v>2325</v>
      </c>
      <c r="F37" s="84" t="s">
        <v>2454</v>
      </c>
      <c r="G37" s="27">
        <f>H37</f>
        <v>0</v>
      </c>
      <c r="H37" s="27">
        <f>IF('ф.1.9 Характеристика'!$I$16&lt;10,1,0)</f>
        <v>0</v>
      </c>
      <c r="I37" s="31" t="s">
        <v>2446</v>
      </c>
      <c r="J37" s="148"/>
      <c r="K37" s="148"/>
      <c r="L37" s="27">
        <f>M37</f>
        <v>1</v>
      </c>
      <c r="M37" s="27">
        <f>IF('ф.1.9 Характеристика'!$M$16&lt;10,1,0)</f>
        <v>1</v>
      </c>
      <c r="N37" s="31" t="s">
        <v>2446</v>
      </c>
      <c r="O37" s="148"/>
      <c r="P37" s="148"/>
      <c r="Q37" s="245">
        <v>0.92642000000000002</v>
      </c>
      <c r="R37" s="245">
        <v>0.12407</v>
      </c>
      <c r="S37" s="245">
        <v>0.3</v>
      </c>
      <c r="T37" s="245">
        <v>0.3</v>
      </c>
    </row>
  </sheetData>
  <sheetProtection formatColumns="0" formatRows="0" insertRows="0" deleteColumns="0" deleteRows="0" sort="0" autoFilter="0"/>
  <mergeCells count="28">
    <mergeCell ref="E25:T25"/>
    <mergeCell ref="E27:E28"/>
    <mergeCell ref="F27:F28"/>
    <mergeCell ref="G27:G28"/>
    <mergeCell ref="H27:H28"/>
    <mergeCell ref="I27:I28"/>
    <mergeCell ref="J27:J28"/>
    <mergeCell ref="K27:K28"/>
    <mergeCell ref="Q27:Q28"/>
    <mergeCell ref="L27:L28"/>
    <mergeCell ref="M27:M28"/>
    <mergeCell ref="N27:N28"/>
    <mergeCell ref="O27:O28"/>
    <mergeCell ref="P27:P28"/>
    <mergeCell ref="R27:R28"/>
    <mergeCell ref="S27:T27"/>
    <mergeCell ref="E10:T10"/>
    <mergeCell ref="E12:E13"/>
    <mergeCell ref="F12:F13"/>
    <mergeCell ref="G12:G13"/>
    <mergeCell ref="H12:H13"/>
    <mergeCell ref="I12:I13"/>
    <mergeCell ref="J12:J13"/>
    <mergeCell ref="K12:K13"/>
    <mergeCell ref="Q12:Q13"/>
    <mergeCell ref="R12:R13"/>
    <mergeCell ref="L12:P12"/>
    <mergeCell ref="S12:T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6587-1866-2588-09A2-A9BB145312FE}">
  <sheetPr>
    <tabColor theme="3" tint="0.79998168889431442"/>
  </sheetPr>
  <dimension ref="A1:I29"/>
  <sheetViews>
    <sheetView showGridLines="0" topLeftCell="E9" workbookViewId="0"/>
  </sheetViews>
  <sheetFormatPr defaultColWidth="9.109375" defaultRowHeight="11.25" customHeight="1" x14ac:dyDescent="0.3"/>
  <cols>
    <col min="1" max="4" width="15.6640625" hidden="1" customWidth="1"/>
    <col min="5" max="5" width="3.6640625" customWidth="1"/>
    <col min="6" max="6" width="8.109375" customWidth="1"/>
    <col min="7" max="7" width="76.5546875" customWidth="1"/>
    <col min="8" max="8" width="36.44140625" customWidth="1"/>
    <col min="9" max="9" width="37.44140625" customWidth="1"/>
  </cols>
  <sheetData>
    <row r="1" spans="1:9" ht="13.5" hidden="1" customHeight="1" x14ac:dyDescent="0.3"/>
    <row r="2" spans="1:9" ht="13.5" hidden="1" customHeight="1" x14ac:dyDescent="0.3"/>
    <row r="3" spans="1:9" ht="13.5" hidden="1" customHeight="1" x14ac:dyDescent="0.3"/>
    <row r="4" spans="1:9" ht="13.5" hidden="1" customHeight="1" x14ac:dyDescent="0.3"/>
    <row r="5" spans="1:9" ht="13.5" hidden="1" customHeight="1" x14ac:dyDescent="0.3"/>
    <row r="6" spans="1:9" ht="13.5" hidden="1" customHeight="1" x14ac:dyDescent="0.3"/>
    <row r="7" spans="1:9" ht="13.5" hidden="1" customHeight="1" x14ac:dyDescent="0.3"/>
    <row r="8" spans="1:9" ht="13.5" hidden="1" customHeight="1" x14ac:dyDescent="0.3"/>
    <row r="9" spans="1:9" ht="13.5" customHeight="1" x14ac:dyDescent="0.3"/>
    <row r="10" spans="1:9" ht="25.5" customHeight="1" x14ac:dyDescent="0.3">
      <c r="F10" s="352" t="s">
        <v>2010</v>
      </c>
      <c r="G10" s="352"/>
      <c r="H10" s="91"/>
      <c r="I10" s="91"/>
    </row>
    <row r="11" spans="1:9" ht="5.25" customHeight="1" x14ac:dyDescent="0.3">
      <c r="G11" s="353"/>
      <c r="H11" s="353"/>
    </row>
    <row r="12" spans="1:9" ht="24" customHeight="1" x14ac:dyDescent="0.3">
      <c r="F12" s="92" t="s">
        <v>2112</v>
      </c>
      <c r="G12" s="93" t="s">
        <v>2419</v>
      </c>
      <c r="H12" s="94" t="s">
        <v>2462</v>
      </c>
      <c r="I12" s="94" t="s">
        <v>2463</v>
      </c>
    </row>
    <row r="13" spans="1:9" ht="5.25" customHeight="1" x14ac:dyDescent="0.3">
      <c r="F13" s="95">
        <v>0</v>
      </c>
      <c r="G13" s="96"/>
      <c r="H13" s="97"/>
      <c r="I13" s="98"/>
    </row>
    <row r="14" spans="1:9" ht="15" hidden="1" customHeight="1" x14ac:dyDescent="0.2">
      <c r="A14" s="99" t="b">
        <f t="shared" ref="A14:A20" si="0">region_name="Красноярский край"</f>
        <v>0</v>
      </c>
      <c r="E14" s="100"/>
      <c r="F14" s="101" t="s">
        <v>45</v>
      </c>
      <c r="G14" s="102" t="s">
        <v>2464</v>
      </c>
      <c r="H14" s="103"/>
      <c r="I14" s="104"/>
    </row>
    <row r="15" spans="1:9" ht="26.25" hidden="1" customHeight="1" x14ac:dyDescent="0.2">
      <c r="A15" s="99" t="b">
        <f t="shared" si="0"/>
        <v>0</v>
      </c>
      <c r="E15" s="100"/>
      <c r="F15" s="101" t="s">
        <v>2035</v>
      </c>
      <c r="G15" s="102" t="s">
        <v>2465</v>
      </c>
      <c r="H15" s="103"/>
      <c r="I15" s="104"/>
    </row>
    <row r="16" spans="1:9" ht="26.25" hidden="1" customHeight="1" x14ac:dyDescent="0.2">
      <c r="A16" s="99" t="b">
        <f t="shared" si="0"/>
        <v>0</v>
      </c>
      <c r="E16" s="100"/>
      <c r="F16" s="101" t="s">
        <v>165</v>
      </c>
      <c r="G16" s="102" t="s">
        <v>2466</v>
      </c>
      <c r="H16" s="103"/>
      <c r="I16" s="104"/>
    </row>
    <row r="17" spans="1:9" ht="15" hidden="1" customHeight="1" x14ac:dyDescent="0.2">
      <c r="A17" s="99" t="b">
        <f t="shared" si="0"/>
        <v>0</v>
      </c>
      <c r="E17" s="100"/>
      <c r="F17" s="101" t="s">
        <v>167</v>
      </c>
      <c r="G17" s="102" t="s">
        <v>2467</v>
      </c>
      <c r="H17" s="103"/>
      <c r="I17" s="104"/>
    </row>
    <row r="18" spans="1:9" ht="34.5" hidden="1" customHeight="1" x14ac:dyDescent="0.2">
      <c r="A18" s="99" t="b">
        <f t="shared" si="0"/>
        <v>0</v>
      </c>
      <c r="E18" s="100"/>
      <c r="F18" s="101" t="s">
        <v>170</v>
      </c>
      <c r="G18" s="102" t="s">
        <v>2468</v>
      </c>
      <c r="H18" s="103"/>
      <c r="I18" s="104"/>
    </row>
    <row r="19" spans="1:9" ht="26.25" hidden="1" customHeight="1" x14ac:dyDescent="0.2">
      <c r="A19" s="99" t="b">
        <f t="shared" si="0"/>
        <v>0</v>
      </c>
      <c r="E19" s="100"/>
      <c r="F19" s="101" t="s">
        <v>2049</v>
      </c>
      <c r="G19" s="102" t="s">
        <v>2469</v>
      </c>
      <c r="H19" s="103"/>
      <c r="I19" s="104"/>
    </row>
    <row r="20" spans="1:9" ht="15" hidden="1" customHeight="1" x14ac:dyDescent="0.2">
      <c r="A20" s="99" t="b">
        <f t="shared" si="0"/>
        <v>0</v>
      </c>
      <c r="E20" s="100"/>
      <c r="F20" s="101">
        <f>IF(region_name="Красноярский край",7,0)</f>
        <v>0</v>
      </c>
      <c r="G20" s="102" t="s">
        <v>2470</v>
      </c>
      <c r="H20" s="105"/>
      <c r="I20" s="104"/>
    </row>
    <row r="21" spans="1:9" ht="15" customHeight="1" x14ac:dyDescent="0.3">
      <c r="F21" s="106"/>
      <c r="G21" s="107" t="s">
        <v>2471</v>
      </c>
      <c r="H21" s="107"/>
      <c r="I21" s="108"/>
    </row>
    <row r="22" spans="1:9" ht="13.5" customHeight="1" x14ac:dyDescent="0.3"/>
    <row r="23" spans="1:9" ht="0.75" customHeight="1" x14ac:dyDescent="0.3"/>
    <row r="24" spans="1:9" ht="13.5" customHeight="1" x14ac:dyDescent="0.3"/>
    <row r="25" spans="1:9" ht="13.5" customHeight="1" x14ac:dyDescent="0.3"/>
    <row r="26" spans="1:9" ht="0.75" customHeight="1" x14ac:dyDescent="0.3"/>
    <row r="27" spans="1:9" ht="13.5" customHeight="1" x14ac:dyDescent="0.3"/>
    <row r="29" spans="1:9" ht="27" customHeight="1" x14ac:dyDescent="0.3">
      <c r="F29" s="354"/>
      <c r="G29" s="354"/>
      <c r="H29" s="354"/>
    </row>
  </sheetData>
  <sheetProtection formatColumns="0" formatRows="0" insertRows="0" deleteColumns="0" deleteRows="0" sort="0" autoFilter="0"/>
  <mergeCells count="3">
    <mergeCell ref="F10:G10"/>
    <mergeCell ref="G11:H11"/>
    <mergeCell ref="F29:H2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4:G20 I14:I20" xr:uid="{00000000-0002-0000-1500-000000000000}">
      <formula1>900</formula1>
    </dataValidation>
    <dataValidation type="list" allowBlank="1" showInputMessage="1" showErrorMessage="1" errorTitle="Ошибка" sqref="H14 H15 H16 H17 H18 H19 H20" xr:uid="{00000000-0002-0000-1500-000001000000}">
      <formula1>doc_list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E98C-4FA6-0B85-F635-AE187AAE1694}">
  <sheetPr>
    <tabColor theme="0" tint="-4.9989318521683403E-2"/>
  </sheetPr>
  <dimension ref="B1:AA16"/>
  <sheetViews>
    <sheetView showGridLines="0" showRowColHeaders="0" workbookViewId="0"/>
  </sheetViews>
  <sheetFormatPr defaultColWidth="9.109375" defaultRowHeight="14.25" customHeight="1" x14ac:dyDescent="0.3"/>
  <cols>
    <col min="1" max="1" width="3.33203125" customWidth="1"/>
    <col min="2" max="2" width="8.6640625" customWidth="1"/>
    <col min="3" max="3" width="12.33203125" customWidth="1"/>
    <col min="4" max="25" width="5.6640625" customWidth="1"/>
  </cols>
  <sheetData>
    <row r="1" spans="2:27" ht="26.25" customHeight="1" x14ac:dyDescent="0.25">
      <c r="B1" s="292" t="s">
        <v>228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AA1" s="8" t="s">
        <v>229</v>
      </c>
    </row>
    <row r="2" spans="2:27" ht="16.5" hidden="1" customHeight="1" x14ac:dyDescent="0.3">
      <c r="B2" s="275" t="s">
        <v>230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2:27" ht="18" customHeight="1" x14ac:dyDescent="0.3">
      <c r="B3" s="277" t="s">
        <v>231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2:27" ht="6" customHeight="1" x14ac:dyDescent="0.3"/>
    <row r="5" spans="2:27" ht="32.25" customHeight="1" x14ac:dyDescent="0.3">
      <c r="B5" s="278" t="s">
        <v>232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80"/>
    </row>
    <row r="6" spans="2:27" ht="6" customHeight="1" x14ac:dyDescent="0.25">
      <c r="B6" s="281" t="s">
        <v>233</v>
      </c>
      <c r="C6" s="282"/>
      <c r="Z6" s="9"/>
    </row>
    <row r="7" spans="2:27" ht="21" customHeight="1" x14ac:dyDescent="0.25">
      <c r="B7" s="281"/>
      <c r="C7" s="282"/>
      <c r="Z7" s="9"/>
    </row>
    <row r="8" spans="2:27" ht="15" customHeight="1" x14ac:dyDescent="0.25">
      <c r="B8" s="281"/>
      <c r="C8" s="282"/>
      <c r="E8" s="10" t="s">
        <v>234</v>
      </c>
      <c r="F8" s="284" t="s">
        <v>235</v>
      </c>
      <c r="G8" s="276"/>
      <c r="H8" s="276"/>
      <c r="I8" s="276"/>
      <c r="J8" s="276"/>
      <c r="K8" s="276"/>
      <c r="L8" s="276"/>
      <c r="M8" s="276"/>
      <c r="O8" s="11" t="s">
        <v>234</v>
      </c>
      <c r="P8" s="285" t="s">
        <v>236</v>
      </c>
      <c r="Q8" s="276"/>
      <c r="R8" s="276"/>
      <c r="S8" s="276"/>
      <c r="T8" s="276"/>
      <c r="U8" s="276"/>
      <c r="V8" s="276"/>
      <c r="W8" s="276"/>
      <c r="X8" s="276"/>
      <c r="Z8" s="9"/>
    </row>
    <row r="9" spans="2:27" ht="15" customHeight="1" x14ac:dyDescent="0.25">
      <c r="B9" s="281"/>
      <c r="C9" s="282"/>
      <c r="E9" s="12" t="s">
        <v>234</v>
      </c>
      <c r="F9" s="284" t="s">
        <v>237</v>
      </c>
      <c r="G9" s="276"/>
      <c r="H9" s="276"/>
      <c r="I9" s="276"/>
      <c r="J9" s="276"/>
      <c r="K9" s="276"/>
      <c r="L9" s="276"/>
      <c r="M9" s="276"/>
      <c r="O9" s="13" t="s">
        <v>234</v>
      </c>
      <c r="P9" s="285" t="s">
        <v>238</v>
      </c>
      <c r="Q9" s="276"/>
      <c r="R9" s="276"/>
      <c r="S9" s="276"/>
      <c r="T9" s="276"/>
      <c r="U9" s="276"/>
      <c r="V9" s="276"/>
      <c r="W9" s="276"/>
      <c r="X9" s="276"/>
      <c r="Z9" s="9"/>
    </row>
    <row r="10" spans="2:27" ht="21" customHeight="1" x14ac:dyDescent="0.25">
      <c r="B10" s="281"/>
      <c r="C10" s="283"/>
      <c r="D10" s="14"/>
      <c r="E10" s="15"/>
      <c r="O10" s="15"/>
      <c r="Z10" s="9"/>
    </row>
    <row r="11" spans="2:27" ht="6" customHeight="1" x14ac:dyDescent="0.25">
      <c r="B11" s="286" t="s">
        <v>239</v>
      </c>
      <c r="C11" s="287"/>
      <c r="Z11" s="9"/>
    </row>
    <row r="12" spans="2:27" ht="72" customHeight="1" x14ac:dyDescent="0.25">
      <c r="B12" s="281"/>
      <c r="C12" s="283"/>
      <c r="D12" s="16"/>
      <c r="E12" s="288" t="s">
        <v>240</v>
      </c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Z12" s="9"/>
    </row>
    <row r="13" spans="2:27" ht="6" customHeight="1" x14ac:dyDescent="0.25">
      <c r="B13" s="286" t="s">
        <v>241</v>
      </c>
      <c r="C13" s="287"/>
      <c r="Z13" s="9"/>
    </row>
    <row r="14" spans="2:27" ht="66" customHeight="1" x14ac:dyDescent="0.25">
      <c r="B14" s="281"/>
      <c r="C14" s="282"/>
      <c r="E14" s="291" t="s">
        <v>242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Z14" s="9"/>
    </row>
    <row r="15" spans="2:27" ht="6" customHeight="1" x14ac:dyDescent="0.25">
      <c r="B15" s="289"/>
      <c r="C15" s="290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9"/>
    </row>
    <row r="16" spans="2:27" ht="102" customHeight="1" x14ac:dyDescent="0.3">
      <c r="B16" s="291" t="str">
        <f>"Правообладатель шаблона - ООО «Платформа» (ОГРН 1147746709153). "&amp;IF(region_name="","","
Данный шаблон предоставлен в использование исключительно для сбора информации с регулируемых организаций на территории субъекта РФ: "&amp;region_name&amp;". Распространение, передача настоящего шаблона государственным органам и/или регулируемым организациям и иным лицам, осуществляющим деятельность на территории других субъектов Российской Федерации, "&amp;"равно как и любое иное использование данного шаблона такими лицами запрещены и признаются нарушением исключительного права правообладателя шаблона "&amp;"и являются основанием для привлечения к гражданской и административной ответственности в соответствии с законодательством Российской Федерации.")</f>
        <v>Правообладатель шаблона - ООО «Платформа» (ОГРН 1147746709153). 
Данный шаблон предоставлен в использование исключительно для сбора информации с регулируемых организаций на территории субъекта РФ: Омская область. Распространение, передача настоящего шаблона государственным органам и/или регулируемым организациям и иным лицам, осуществляющим деятельность на территории других субъектов Российской Федерации, равно как и любое иное использование данного шаблона такими лицами запрещены и признаются нарушением исключительного права правообладателя шаблона и являются основанием для привлечения к гражданской и административной ответственности в соответствии с законодательством Российской Федерации.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</row>
  </sheetData>
  <sheetProtection formatColumns="0" formatRows="0" insertRows="0" deleteColumns="0" deleteRows="0" sort="0" autoFilter="0"/>
  <mergeCells count="14">
    <mergeCell ref="B1:P1"/>
    <mergeCell ref="B11:C12"/>
    <mergeCell ref="E12:X12"/>
    <mergeCell ref="B13:C15"/>
    <mergeCell ref="E14:X14"/>
    <mergeCell ref="B16:Y16"/>
    <mergeCell ref="B2:P2"/>
    <mergeCell ref="B3:P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DEBEE-4164-C537-AF6A-A11F6325287E}">
  <sheetPr>
    <tabColor rgb="FFFFCC99"/>
  </sheetPr>
  <dimension ref="A1:E148"/>
  <sheetViews>
    <sheetView showGridLines="0" workbookViewId="0"/>
  </sheetViews>
  <sheetFormatPr defaultColWidth="9.109375" defaultRowHeight="11.25" customHeight="1" x14ac:dyDescent="0.3"/>
  <sheetData>
    <row r="1" spans="1:5" ht="11.25" customHeight="1" x14ac:dyDescent="0.3">
      <c r="A1" t="s">
        <v>243</v>
      </c>
      <c r="B1" t="s">
        <v>244</v>
      </c>
      <c r="C1" t="s">
        <v>245</v>
      </c>
      <c r="D1" t="s">
        <v>243</v>
      </c>
      <c r="E1" t="s">
        <v>246</v>
      </c>
    </row>
    <row r="2" spans="1:5" ht="11.25" customHeight="1" x14ac:dyDescent="0.3">
      <c r="A2" t="s">
        <v>247</v>
      </c>
      <c r="B2" t="s">
        <v>247</v>
      </c>
      <c r="C2" t="s">
        <v>248</v>
      </c>
      <c r="D2" t="s">
        <v>247</v>
      </c>
      <c r="E2" t="s">
        <v>249</v>
      </c>
    </row>
    <row r="3" spans="1:5" ht="11.25" customHeight="1" x14ac:dyDescent="0.3">
      <c r="A3" t="s">
        <v>247</v>
      </c>
      <c r="B3" t="s">
        <v>250</v>
      </c>
      <c r="C3" t="s">
        <v>251</v>
      </c>
    </row>
    <row r="4" spans="1:5" ht="11.25" customHeight="1" x14ac:dyDescent="0.3">
      <c r="A4" t="s">
        <v>247</v>
      </c>
      <c r="B4" t="s">
        <v>252</v>
      </c>
      <c r="C4" t="s">
        <v>253</v>
      </c>
    </row>
    <row r="5" spans="1:5" ht="11.25" customHeight="1" x14ac:dyDescent="0.3">
      <c r="A5" t="s">
        <v>247</v>
      </c>
      <c r="B5" t="s">
        <v>254</v>
      </c>
      <c r="C5" t="s">
        <v>255</v>
      </c>
    </row>
    <row r="6" spans="1:5" ht="11.25" customHeight="1" x14ac:dyDescent="0.3">
      <c r="A6" t="s">
        <v>247</v>
      </c>
      <c r="B6" t="s">
        <v>256</v>
      </c>
      <c r="C6" t="s">
        <v>257</v>
      </c>
    </row>
    <row r="7" spans="1:5" ht="11.25" customHeight="1" x14ac:dyDescent="0.3">
      <c r="A7" t="s">
        <v>247</v>
      </c>
      <c r="B7" t="s">
        <v>258</v>
      </c>
      <c r="C7" t="s">
        <v>259</v>
      </c>
    </row>
    <row r="8" spans="1:5" ht="11.25" customHeight="1" x14ac:dyDescent="0.3">
      <c r="A8" t="s">
        <v>247</v>
      </c>
      <c r="B8" t="s">
        <v>260</v>
      </c>
      <c r="C8" t="s">
        <v>261</v>
      </c>
    </row>
    <row r="9" spans="1:5" ht="11.25" customHeight="1" x14ac:dyDescent="0.3">
      <c r="A9" t="s">
        <v>247</v>
      </c>
      <c r="B9" t="s">
        <v>262</v>
      </c>
      <c r="C9" t="s">
        <v>263</v>
      </c>
    </row>
    <row r="10" spans="1:5" ht="11.25" customHeight="1" x14ac:dyDescent="0.3">
      <c r="A10" t="s">
        <v>247</v>
      </c>
      <c r="B10" t="s">
        <v>264</v>
      </c>
      <c r="C10" t="s">
        <v>265</v>
      </c>
    </row>
    <row r="11" spans="1:5" ht="11.25" customHeight="1" x14ac:dyDescent="0.3">
      <c r="A11" t="s">
        <v>247</v>
      </c>
      <c r="B11" t="s">
        <v>266</v>
      </c>
      <c r="C11" t="s">
        <v>267</v>
      </c>
    </row>
    <row r="12" spans="1:5" ht="11.25" customHeight="1" x14ac:dyDescent="0.3">
      <c r="A12" t="s">
        <v>247</v>
      </c>
      <c r="B12" t="s">
        <v>268</v>
      </c>
      <c r="C12" t="s">
        <v>269</v>
      </c>
    </row>
    <row r="13" spans="1:5" ht="11.25" customHeight="1" x14ac:dyDescent="0.3">
      <c r="A13" t="s">
        <v>247</v>
      </c>
      <c r="B13" t="s">
        <v>270</v>
      </c>
      <c r="C13" t="s">
        <v>271</v>
      </c>
    </row>
    <row r="14" spans="1:5" ht="11.25" customHeight="1" x14ac:dyDescent="0.3">
      <c r="A14" t="s">
        <v>247</v>
      </c>
      <c r="B14" t="s">
        <v>272</v>
      </c>
      <c r="C14" t="s">
        <v>273</v>
      </c>
    </row>
    <row r="15" spans="1:5" ht="11.25" customHeight="1" x14ac:dyDescent="0.3">
      <c r="A15" t="s">
        <v>247</v>
      </c>
      <c r="B15" t="s">
        <v>274</v>
      </c>
      <c r="C15" t="s">
        <v>275</v>
      </c>
    </row>
    <row r="16" spans="1:5" ht="11.25" customHeight="1" x14ac:dyDescent="0.3">
      <c r="A16" t="s">
        <v>247</v>
      </c>
      <c r="B16" t="s">
        <v>276</v>
      </c>
      <c r="C16" t="s">
        <v>277</v>
      </c>
    </row>
    <row r="17" spans="1:3" ht="11.25" customHeight="1" x14ac:dyDescent="0.3">
      <c r="A17" t="s">
        <v>247</v>
      </c>
      <c r="B17" t="s">
        <v>278</v>
      </c>
      <c r="C17" t="s">
        <v>279</v>
      </c>
    </row>
    <row r="18" spans="1:3" ht="11.25" customHeight="1" x14ac:dyDescent="0.3">
      <c r="A18" t="s">
        <v>247</v>
      </c>
      <c r="B18" t="s">
        <v>280</v>
      </c>
      <c r="C18" t="s">
        <v>281</v>
      </c>
    </row>
    <row r="19" spans="1:3" ht="11.25" customHeight="1" x14ac:dyDescent="0.3">
      <c r="A19" t="s">
        <v>247</v>
      </c>
      <c r="B19" t="s">
        <v>282</v>
      </c>
      <c r="C19" t="s">
        <v>283</v>
      </c>
    </row>
    <row r="20" spans="1:3" ht="11.25" customHeight="1" x14ac:dyDescent="0.3">
      <c r="A20" t="s">
        <v>247</v>
      </c>
      <c r="B20" t="s">
        <v>284</v>
      </c>
      <c r="C20" t="s">
        <v>285</v>
      </c>
    </row>
    <row r="21" spans="1:3" ht="11.25" customHeight="1" x14ac:dyDescent="0.3">
      <c r="A21" t="s">
        <v>247</v>
      </c>
      <c r="B21" t="s">
        <v>286</v>
      </c>
      <c r="C21" t="s">
        <v>287</v>
      </c>
    </row>
    <row r="22" spans="1:3" ht="11.25" customHeight="1" x14ac:dyDescent="0.3">
      <c r="A22" t="s">
        <v>247</v>
      </c>
      <c r="B22" t="s">
        <v>288</v>
      </c>
      <c r="C22" t="s">
        <v>289</v>
      </c>
    </row>
    <row r="23" spans="1:3" ht="11.25" customHeight="1" x14ac:dyDescent="0.3">
      <c r="A23" t="s">
        <v>247</v>
      </c>
      <c r="B23" t="s">
        <v>290</v>
      </c>
      <c r="C23" t="s">
        <v>291</v>
      </c>
    </row>
    <row r="24" spans="1:3" ht="11.25" customHeight="1" x14ac:dyDescent="0.3">
      <c r="A24" t="s">
        <v>247</v>
      </c>
      <c r="B24" t="s">
        <v>292</v>
      </c>
      <c r="C24" t="s">
        <v>293</v>
      </c>
    </row>
    <row r="25" spans="1:3" ht="11.25" customHeight="1" x14ac:dyDescent="0.3">
      <c r="A25" t="s">
        <v>247</v>
      </c>
      <c r="B25" t="s">
        <v>294</v>
      </c>
      <c r="C25" t="s">
        <v>295</v>
      </c>
    </row>
    <row r="26" spans="1:3" ht="11.25" customHeight="1" x14ac:dyDescent="0.3">
      <c r="A26" t="s">
        <v>247</v>
      </c>
      <c r="B26" t="s">
        <v>296</v>
      </c>
      <c r="C26" t="s">
        <v>297</v>
      </c>
    </row>
    <row r="27" spans="1:3" ht="11.25" customHeight="1" x14ac:dyDescent="0.3">
      <c r="A27" t="s">
        <v>247</v>
      </c>
      <c r="B27" t="s">
        <v>298</v>
      </c>
      <c r="C27" t="s">
        <v>299</v>
      </c>
    </row>
    <row r="28" spans="1:3" ht="11.25" customHeight="1" x14ac:dyDescent="0.3">
      <c r="A28" t="s">
        <v>247</v>
      </c>
      <c r="B28" t="s">
        <v>300</v>
      </c>
      <c r="C28" t="s">
        <v>301</v>
      </c>
    </row>
    <row r="29" spans="1:3" ht="11.25" customHeight="1" x14ac:dyDescent="0.3">
      <c r="A29" t="s">
        <v>247</v>
      </c>
      <c r="B29" t="s">
        <v>302</v>
      </c>
      <c r="C29" t="s">
        <v>303</v>
      </c>
    </row>
    <row r="30" spans="1:3" ht="11.25" customHeight="1" x14ac:dyDescent="0.3">
      <c r="A30" t="s">
        <v>247</v>
      </c>
      <c r="B30" t="s">
        <v>304</v>
      </c>
      <c r="C30" t="s">
        <v>305</v>
      </c>
    </row>
    <row r="31" spans="1:3" ht="11.25" customHeight="1" x14ac:dyDescent="0.3">
      <c r="A31" t="s">
        <v>247</v>
      </c>
      <c r="B31" t="s">
        <v>306</v>
      </c>
      <c r="C31" t="s">
        <v>307</v>
      </c>
    </row>
    <row r="32" spans="1:3" ht="11.25" customHeight="1" x14ac:dyDescent="0.3">
      <c r="A32" t="s">
        <v>247</v>
      </c>
      <c r="B32" t="s">
        <v>308</v>
      </c>
      <c r="C32" t="s">
        <v>309</v>
      </c>
    </row>
    <row r="33" spans="1:3" ht="11.25" customHeight="1" x14ac:dyDescent="0.3">
      <c r="A33" t="s">
        <v>247</v>
      </c>
      <c r="B33" t="s">
        <v>310</v>
      </c>
      <c r="C33" t="s">
        <v>311</v>
      </c>
    </row>
    <row r="34" spans="1:3" ht="11.25" customHeight="1" x14ac:dyDescent="0.3">
      <c r="A34" t="s">
        <v>247</v>
      </c>
      <c r="B34" t="s">
        <v>312</v>
      </c>
      <c r="C34" t="s">
        <v>313</v>
      </c>
    </row>
    <row r="35" spans="1:3" ht="11.25" customHeight="1" x14ac:dyDescent="0.3">
      <c r="A35" t="s">
        <v>247</v>
      </c>
      <c r="B35" t="s">
        <v>314</v>
      </c>
      <c r="C35" t="s">
        <v>315</v>
      </c>
    </row>
    <row r="36" spans="1:3" ht="11.25" customHeight="1" x14ac:dyDescent="0.3">
      <c r="A36" t="s">
        <v>247</v>
      </c>
      <c r="B36" t="s">
        <v>316</v>
      </c>
      <c r="C36" t="s">
        <v>317</v>
      </c>
    </row>
    <row r="37" spans="1:3" ht="11.25" customHeight="1" x14ac:dyDescent="0.3">
      <c r="A37" t="s">
        <v>247</v>
      </c>
      <c r="B37" t="s">
        <v>318</v>
      </c>
      <c r="C37" t="s">
        <v>319</v>
      </c>
    </row>
    <row r="38" spans="1:3" ht="11.25" customHeight="1" x14ac:dyDescent="0.3">
      <c r="A38" t="s">
        <v>247</v>
      </c>
      <c r="B38" t="s">
        <v>320</v>
      </c>
      <c r="C38" t="s">
        <v>321</v>
      </c>
    </row>
    <row r="39" spans="1:3" ht="11.25" customHeight="1" x14ac:dyDescent="0.3">
      <c r="A39" t="s">
        <v>247</v>
      </c>
      <c r="B39" t="s">
        <v>322</v>
      </c>
      <c r="C39" t="s">
        <v>323</v>
      </c>
    </row>
    <row r="40" spans="1:3" ht="11.25" customHeight="1" x14ac:dyDescent="0.3">
      <c r="A40" t="s">
        <v>247</v>
      </c>
      <c r="B40" t="s">
        <v>324</v>
      </c>
      <c r="C40" t="s">
        <v>325</v>
      </c>
    </row>
    <row r="41" spans="1:3" ht="11.25" customHeight="1" x14ac:dyDescent="0.3">
      <c r="A41" t="s">
        <v>247</v>
      </c>
      <c r="B41" t="s">
        <v>326</v>
      </c>
      <c r="C41" t="s">
        <v>327</v>
      </c>
    </row>
    <row r="42" spans="1:3" ht="11.25" customHeight="1" x14ac:dyDescent="0.3">
      <c r="A42" t="s">
        <v>247</v>
      </c>
      <c r="B42" t="s">
        <v>328</v>
      </c>
      <c r="C42" t="s">
        <v>329</v>
      </c>
    </row>
    <row r="43" spans="1:3" ht="11.25" customHeight="1" x14ac:dyDescent="0.3">
      <c r="A43" t="s">
        <v>247</v>
      </c>
      <c r="B43" t="s">
        <v>330</v>
      </c>
      <c r="C43" t="s">
        <v>331</v>
      </c>
    </row>
    <row r="44" spans="1:3" ht="11.25" customHeight="1" x14ac:dyDescent="0.3">
      <c r="A44" t="s">
        <v>247</v>
      </c>
      <c r="B44" t="s">
        <v>332</v>
      </c>
      <c r="C44" t="s">
        <v>333</v>
      </c>
    </row>
    <row r="45" spans="1:3" ht="11.25" customHeight="1" x14ac:dyDescent="0.3">
      <c r="A45" t="s">
        <v>247</v>
      </c>
      <c r="B45" t="s">
        <v>334</v>
      </c>
      <c r="C45" t="s">
        <v>335</v>
      </c>
    </row>
    <row r="46" spans="1:3" ht="11.25" customHeight="1" x14ac:dyDescent="0.3">
      <c r="A46" t="s">
        <v>247</v>
      </c>
      <c r="B46" t="s">
        <v>336</v>
      </c>
      <c r="C46" t="s">
        <v>337</v>
      </c>
    </row>
    <row r="47" spans="1:3" ht="11.25" customHeight="1" x14ac:dyDescent="0.3">
      <c r="A47" t="s">
        <v>247</v>
      </c>
      <c r="B47" t="s">
        <v>338</v>
      </c>
      <c r="C47" t="s">
        <v>339</v>
      </c>
    </row>
    <row r="48" spans="1:3" ht="11.25" customHeight="1" x14ac:dyDescent="0.3">
      <c r="A48" t="s">
        <v>247</v>
      </c>
      <c r="B48" t="s">
        <v>340</v>
      </c>
      <c r="C48" t="s">
        <v>341</v>
      </c>
    </row>
    <row r="49" spans="1:3" ht="11.25" customHeight="1" x14ac:dyDescent="0.3">
      <c r="A49" t="s">
        <v>247</v>
      </c>
      <c r="B49" t="s">
        <v>342</v>
      </c>
      <c r="C49" t="s">
        <v>343</v>
      </c>
    </row>
    <row r="50" spans="1:3" ht="11.25" customHeight="1" x14ac:dyDescent="0.3">
      <c r="A50" t="s">
        <v>247</v>
      </c>
      <c r="B50" t="s">
        <v>344</v>
      </c>
      <c r="C50" t="s">
        <v>345</v>
      </c>
    </row>
    <row r="51" spans="1:3" ht="11.25" customHeight="1" x14ac:dyDescent="0.3">
      <c r="A51" t="s">
        <v>247</v>
      </c>
      <c r="B51" t="s">
        <v>346</v>
      </c>
      <c r="C51" t="s">
        <v>347</v>
      </c>
    </row>
    <row r="52" spans="1:3" ht="11.25" customHeight="1" x14ac:dyDescent="0.3">
      <c r="A52" t="s">
        <v>247</v>
      </c>
      <c r="B52" t="s">
        <v>348</v>
      </c>
      <c r="C52" t="s">
        <v>349</v>
      </c>
    </row>
    <row r="53" spans="1:3" ht="11.25" customHeight="1" x14ac:dyDescent="0.3">
      <c r="A53" t="s">
        <v>247</v>
      </c>
      <c r="B53" t="s">
        <v>350</v>
      </c>
      <c r="C53" t="s">
        <v>351</v>
      </c>
    </row>
    <row r="54" spans="1:3" ht="11.25" customHeight="1" x14ac:dyDescent="0.3">
      <c r="A54" t="s">
        <v>247</v>
      </c>
      <c r="B54" t="s">
        <v>352</v>
      </c>
      <c r="C54" t="s">
        <v>353</v>
      </c>
    </row>
    <row r="55" spans="1:3" ht="11.25" customHeight="1" x14ac:dyDescent="0.3">
      <c r="A55" t="s">
        <v>247</v>
      </c>
      <c r="B55" t="s">
        <v>354</v>
      </c>
      <c r="C55" t="s">
        <v>355</v>
      </c>
    </row>
    <row r="56" spans="1:3" ht="11.25" customHeight="1" x14ac:dyDescent="0.3">
      <c r="A56" t="s">
        <v>247</v>
      </c>
      <c r="B56" t="s">
        <v>356</v>
      </c>
      <c r="C56" t="s">
        <v>357</v>
      </c>
    </row>
    <row r="57" spans="1:3" ht="11.25" customHeight="1" x14ac:dyDescent="0.3">
      <c r="A57" t="s">
        <v>247</v>
      </c>
      <c r="B57" t="s">
        <v>358</v>
      </c>
      <c r="C57" t="s">
        <v>359</v>
      </c>
    </row>
    <row r="58" spans="1:3" ht="11.25" customHeight="1" x14ac:dyDescent="0.3">
      <c r="A58" t="s">
        <v>247</v>
      </c>
      <c r="B58" t="s">
        <v>360</v>
      </c>
      <c r="C58" t="s">
        <v>361</v>
      </c>
    </row>
    <row r="59" spans="1:3" ht="11.25" customHeight="1" x14ac:dyDescent="0.3">
      <c r="A59" t="s">
        <v>247</v>
      </c>
      <c r="B59" t="s">
        <v>362</v>
      </c>
      <c r="C59" t="s">
        <v>363</v>
      </c>
    </row>
    <row r="60" spans="1:3" ht="11.25" customHeight="1" x14ac:dyDescent="0.3">
      <c r="A60" t="s">
        <v>247</v>
      </c>
      <c r="B60" t="s">
        <v>364</v>
      </c>
      <c r="C60" t="s">
        <v>365</v>
      </c>
    </row>
    <row r="61" spans="1:3" ht="11.25" customHeight="1" x14ac:dyDescent="0.3">
      <c r="A61" t="s">
        <v>247</v>
      </c>
      <c r="B61" t="s">
        <v>366</v>
      </c>
      <c r="C61" t="s">
        <v>367</v>
      </c>
    </row>
    <row r="62" spans="1:3" ht="11.25" customHeight="1" x14ac:dyDescent="0.3">
      <c r="A62" t="s">
        <v>247</v>
      </c>
      <c r="B62" t="s">
        <v>368</v>
      </c>
      <c r="C62" t="s">
        <v>369</v>
      </c>
    </row>
    <row r="63" spans="1:3" ht="11.25" customHeight="1" x14ac:dyDescent="0.3">
      <c r="A63" t="s">
        <v>247</v>
      </c>
      <c r="B63" t="s">
        <v>370</v>
      </c>
      <c r="C63" t="s">
        <v>371</v>
      </c>
    </row>
    <row r="64" spans="1:3" ht="11.25" customHeight="1" x14ac:dyDescent="0.3">
      <c r="A64" t="s">
        <v>247</v>
      </c>
      <c r="B64" t="s">
        <v>372</v>
      </c>
      <c r="C64" t="s">
        <v>373</v>
      </c>
    </row>
    <row r="65" spans="1:3" ht="11.25" customHeight="1" x14ac:dyDescent="0.3">
      <c r="A65" t="s">
        <v>247</v>
      </c>
      <c r="B65" t="s">
        <v>374</v>
      </c>
      <c r="C65" t="s">
        <v>375</v>
      </c>
    </row>
    <row r="66" spans="1:3" ht="11.25" customHeight="1" x14ac:dyDescent="0.3">
      <c r="A66" t="s">
        <v>247</v>
      </c>
      <c r="B66" t="s">
        <v>376</v>
      </c>
      <c r="C66" t="s">
        <v>377</v>
      </c>
    </row>
    <row r="67" spans="1:3" ht="11.25" customHeight="1" x14ac:dyDescent="0.3">
      <c r="A67" t="s">
        <v>247</v>
      </c>
      <c r="B67" t="s">
        <v>378</v>
      </c>
      <c r="C67" t="s">
        <v>379</v>
      </c>
    </row>
    <row r="68" spans="1:3" ht="11.25" customHeight="1" x14ac:dyDescent="0.3">
      <c r="A68" t="s">
        <v>247</v>
      </c>
      <c r="B68" t="s">
        <v>380</v>
      </c>
      <c r="C68" t="s">
        <v>381</v>
      </c>
    </row>
    <row r="69" spans="1:3" ht="11.25" customHeight="1" x14ac:dyDescent="0.3">
      <c r="A69" t="s">
        <v>247</v>
      </c>
      <c r="B69" t="s">
        <v>382</v>
      </c>
      <c r="C69" t="s">
        <v>383</v>
      </c>
    </row>
    <row r="70" spans="1:3" ht="11.25" customHeight="1" x14ac:dyDescent="0.3">
      <c r="A70" t="s">
        <v>247</v>
      </c>
      <c r="B70" t="s">
        <v>384</v>
      </c>
      <c r="C70" t="s">
        <v>385</v>
      </c>
    </row>
    <row r="71" spans="1:3" ht="11.25" customHeight="1" x14ac:dyDescent="0.3">
      <c r="A71" t="s">
        <v>247</v>
      </c>
      <c r="B71" t="s">
        <v>386</v>
      </c>
      <c r="C71" t="s">
        <v>387</v>
      </c>
    </row>
    <row r="72" spans="1:3" ht="11.25" customHeight="1" x14ac:dyDescent="0.3">
      <c r="A72" t="s">
        <v>247</v>
      </c>
      <c r="B72" t="s">
        <v>388</v>
      </c>
      <c r="C72" t="s">
        <v>389</v>
      </c>
    </row>
    <row r="73" spans="1:3" ht="11.25" customHeight="1" x14ac:dyDescent="0.3">
      <c r="A73" t="s">
        <v>247</v>
      </c>
      <c r="B73" t="s">
        <v>390</v>
      </c>
      <c r="C73" t="s">
        <v>391</v>
      </c>
    </row>
    <row r="74" spans="1:3" ht="11.25" customHeight="1" x14ac:dyDescent="0.3">
      <c r="A74" t="s">
        <v>247</v>
      </c>
      <c r="B74" t="s">
        <v>392</v>
      </c>
      <c r="C74" t="s">
        <v>393</v>
      </c>
    </row>
    <row r="75" spans="1:3" ht="11.25" customHeight="1" x14ac:dyDescent="0.3">
      <c r="A75" t="s">
        <v>247</v>
      </c>
      <c r="B75" t="s">
        <v>394</v>
      </c>
      <c r="C75" t="s">
        <v>395</v>
      </c>
    </row>
    <row r="76" spans="1:3" ht="11.25" customHeight="1" x14ac:dyDescent="0.3">
      <c r="A76" t="s">
        <v>247</v>
      </c>
      <c r="B76" t="s">
        <v>396</v>
      </c>
      <c r="C76" t="s">
        <v>397</v>
      </c>
    </row>
    <row r="77" spans="1:3" ht="11.25" customHeight="1" x14ac:dyDescent="0.3">
      <c r="A77" t="s">
        <v>247</v>
      </c>
      <c r="B77" t="s">
        <v>398</v>
      </c>
      <c r="C77" t="s">
        <v>399</v>
      </c>
    </row>
    <row r="78" spans="1:3" ht="11.25" customHeight="1" x14ac:dyDescent="0.3">
      <c r="A78" t="s">
        <v>247</v>
      </c>
      <c r="B78" t="s">
        <v>400</v>
      </c>
      <c r="C78" t="s">
        <v>401</v>
      </c>
    </row>
    <row r="79" spans="1:3" ht="11.25" customHeight="1" x14ac:dyDescent="0.3">
      <c r="A79" t="s">
        <v>247</v>
      </c>
      <c r="B79" t="s">
        <v>402</v>
      </c>
      <c r="C79" t="s">
        <v>403</v>
      </c>
    </row>
    <row r="80" spans="1:3" ht="11.25" customHeight="1" x14ac:dyDescent="0.3">
      <c r="A80" t="s">
        <v>247</v>
      </c>
      <c r="B80" t="s">
        <v>404</v>
      </c>
      <c r="C80" t="s">
        <v>405</v>
      </c>
    </row>
    <row r="81" spans="1:3" ht="11.25" customHeight="1" x14ac:dyDescent="0.3">
      <c r="A81" t="s">
        <v>247</v>
      </c>
      <c r="B81" t="s">
        <v>406</v>
      </c>
      <c r="C81" t="s">
        <v>407</v>
      </c>
    </row>
    <row r="82" spans="1:3" ht="11.25" customHeight="1" x14ac:dyDescent="0.3">
      <c r="A82" t="s">
        <v>247</v>
      </c>
      <c r="B82" t="s">
        <v>408</v>
      </c>
      <c r="C82" t="s">
        <v>409</v>
      </c>
    </row>
    <row r="83" spans="1:3" ht="11.25" customHeight="1" x14ac:dyDescent="0.3">
      <c r="A83" t="s">
        <v>247</v>
      </c>
      <c r="B83" t="s">
        <v>410</v>
      </c>
      <c r="C83" t="s">
        <v>411</v>
      </c>
    </row>
    <row r="84" spans="1:3" ht="11.25" customHeight="1" x14ac:dyDescent="0.3">
      <c r="A84" t="s">
        <v>247</v>
      </c>
      <c r="B84" t="s">
        <v>412</v>
      </c>
      <c r="C84" t="s">
        <v>413</v>
      </c>
    </row>
    <row r="85" spans="1:3" ht="11.25" customHeight="1" x14ac:dyDescent="0.3">
      <c r="A85" t="s">
        <v>247</v>
      </c>
      <c r="B85" t="s">
        <v>414</v>
      </c>
      <c r="C85" t="s">
        <v>415</v>
      </c>
    </row>
    <row r="86" spans="1:3" ht="11.25" customHeight="1" x14ac:dyDescent="0.3">
      <c r="A86" t="s">
        <v>247</v>
      </c>
      <c r="B86" t="s">
        <v>416</v>
      </c>
      <c r="C86" t="s">
        <v>417</v>
      </c>
    </row>
    <row r="87" spans="1:3" ht="11.25" customHeight="1" x14ac:dyDescent="0.3">
      <c r="A87" t="s">
        <v>247</v>
      </c>
      <c r="B87" t="s">
        <v>418</v>
      </c>
      <c r="C87" t="s">
        <v>419</v>
      </c>
    </row>
    <row r="88" spans="1:3" ht="11.25" customHeight="1" x14ac:dyDescent="0.3">
      <c r="A88" t="s">
        <v>247</v>
      </c>
      <c r="B88" t="s">
        <v>420</v>
      </c>
      <c r="C88" t="s">
        <v>421</v>
      </c>
    </row>
    <row r="89" spans="1:3" ht="11.25" customHeight="1" x14ac:dyDescent="0.3">
      <c r="A89" t="s">
        <v>247</v>
      </c>
      <c r="B89" t="s">
        <v>422</v>
      </c>
      <c r="C89" t="s">
        <v>423</v>
      </c>
    </row>
    <row r="90" spans="1:3" ht="11.25" customHeight="1" x14ac:dyDescent="0.3">
      <c r="A90" t="s">
        <v>247</v>
      </c>
      <c r="B90" t="s">
        <v>424</v>
      </c>
      <c r="C90" t="s">
        <v>425</v>
      </c>
    </row>
    <row r="91" spans="1:3" ht="11.25" customHeight="1" x14ac:dyDescent="0.3">
      <c r="A91" t="s">
        <v>247</v>
      </c>
      <c r="B91" t="s">
        <v>426</v>
      </c>
      <c r="C91" t="s">
        <v>427</v>
      </c>
    </row>
    <row r="92" spans="1:3" ht="11.25" customHeight="1" x14ac:dyDescent="0.3">
      <c r="A92" t="s">
        <v>247</v>
      </c>
      <c r="B92" t="s">
        <v>428</v>
      </c>
      <c r="C92" t="s">
        <v>429</v>
      </c>
    </row>
    <row r="93" spans="1:3" ht="11.25" customHeight="1" x14ac:dyDescent="0.3">
      <c r="A93" t="s">
        <v>247</v>
      </c>
      <c r="B93" t="s">
        <v>430</v>
      </c>
      <c r="C93" t="s">
        <v>431</v>
      </c>
    </row>
    <row r="94" spans="1:3" ht="11.25" customHeight="1" x14ac:dyDescent="0.3">
      <c r="A94" t="s">
        <v>247</v>
      </c>
      <c r="B94" t="s">
        <v>432</v>
      </c>
      <c r="C94" t="s">
        <v>433</v>
      </c>
    </row>
    <row r="95" spans="1:3" ht="11.25" customHeight="1" x14ac:dyDescent="0.3">
      <c r="A95" t="s">
        <v>247</v>
      </c>
      <c r="B95" t="s">
        <v>434</v>
      </c>
      <c r="C95" t="s">
        <v>435</v>
      </c>
    </row>
    <row r="96" spans="1:3" ht="11.25" customHeight="1" x14ac:dyDescent="0.3">
      <c r="A96" t="s">
        <v>247</v>
      </c>
      <c r="B96" t="s">
        <v>436</v>
      </c>
      <c r="C96" t="s">
        <v>437</v>
      </c>
    </row>
    <row r="97" spans="1:3" ht="11.25" customHeight="1" x14ac:dyDescent="0.3">
      <c r="A97" t="s">
        <v>247</v>
      </c>
      <c r="B97" t="s">
        <v>438</v>
      </c>
      <c r="C97" t="s">
        <v>439</v>
      </c>
    </row>
    <row r="98" spans="1:3" ht="11.25" customHeight="1" x14ac:dyDescent="0.3">
      <c r="A98" t="s">
        <v>247</v>
      </c>
      <c r="B98" t="s">
        <v>440</v>
      </c>
      <c r="C98" t="s">
        <v>441</v>
      </c>
    </row>
    <row r="99" spans="1:3" ht="11.25" customHeight="1" x14ac:dyDescent="0.3">
      <c r="A99" t="s">
        <v>247</v>
      </c>
      <c r="B99" t="s">
        <v>442</v>
      </c>
      <c r="C99" t="s">
        <v>443</v>
      </c>
    </row>
    <row r="100" spans="1:3" ht="11.25" customHeight="1" x14ac:dyDescent="0.3">
      <c r="A100" t="s">
        <v>247</v>
      </c>
      <c r="B100" t="s">
        <v>444</v>
      </c>
      <c r="C100" t="s">
        <v>445</v>
      </c>
    </row>
    <row r="101" spans="1:3" ht="11.25" customHeight="1" x14ac:dyDescent="0.3">
      <c r="A101" t="s">
        <v>247</v>
      </c>
      <c r="B101" t="s">
        <v>446</v>
      </c>
      <c r="C101" t="s">
        <v>447</v>
      </c>
    </row>
    <row r="102" spans="1:3" ht="11.25" customHeight="1" x14ac:dyDescent="0.3">
      <c r="A102" t="s">
        <v>247</v>
      </c>
      <c r="B102" t="s">
        <v>448</v>
      </c>
      <c r="C102" t="s">
        <v>449</v>
      </c>
    </row>
    <row r="103" spans="1:3" ht="11.25" customHeight="1" x14ac:dyDescent="0.3">
      <c r="A103" t="s">
        <v>247</v>
      </c>
      <c r="B103" t="s">
        <v>450</v>
      </c>
      <c r="C103" t="s">
        <v>451</v>
      </c>
    </row>
    <row r="104" spans="1:3" ht="11.25" customHeight="1" x14ac:dyDescent="0.3">
      <c r="A104" t="s">
        <v>247</v>
      </c>
      <c r="B104" t="s">
        <v>452</v>
      </c>
      <c r="C104" t="s">
        <v>453</v>
      </c>
    </row>
    <row r="105" spans="1:3" ht="11.25" customHeight="1" x14ac:dyDescent="0.3">
      <c r="A105" t="s">
        <v>247</v>
      </c>
      <c r="B105" t="s">
        <v>454</v>
      </c>
      <c r="C105" t="s">
        <v>455</v>
      </c>
    </row>
    <row r="106" spans="1:3" ht="11.25" customHeight="1" x14ac:dyDescent="0.3">
      <c r="A106" t="s">
        <v>247</v>
      </c>
      <c r="B106" t="s">
        <v>456</v>
      </c>
      <c r="C106" t="s">
        <v>457</v>
      </c>
    </row>
    <row r="107" spans="1:3" ht="11.25" customHeight="1" x14ac:dyDescent="0.3">
      <c r="A107" t="s">
        <v>247</v>
      </c>
      <c r="B107" t="s">
        <v>458</v>
      </c>
      <c r="C107" t="s">
        <v>459</v>
      </c>
    </row>
    <row r="108" spans="1:3" ht="11.25" customHeight="1" x14ac:dyDescent="0.3">
      <c r="A108" t="s">
        <v>247</v>
      </c>
      <c r="B108" t="s">
        <v>460</v>
      </c>
      <c r="C108" t="s">
        <v>461</v>
      </c>
    </row>
    <row r="109" spans="1:3" ht="11.25" customHeight="1" x14ac:dyDescent="0.3">
      <c r="A109" t="s">
        <v>247</v>
      </c>
      <c r="B109" t="s">
        <v>462</v>
      </c>
      <c r="C109" t="s">
        <v>463</v>
      </c>
    </row>
    <row r="110" spans="1:3" ht="11.25" customHeight="1" x14ac:dyDescent="0.3">
      <c r="A110" t="s">
        <v>247</v>
      </c>
      <c r="B110" t="s">
        <v>464</v>
      </c>
      <c r="C110" t="s">
        <v>465</v>
      </c>
    </row>
    <row r="111" spans="1:3" ht="11.25" customHeight="1" x14ac:dyDescent="0.3">
      <c r="A111" t="s">
        <v>247</v>
      </c>
      <c r="B111" t="s">
        <v>466</v>
      </c>
      <c r="C111" t="s">
        <v>467</v>
      </c>
    </row>
    <row r="112" spans="1:3" ht="11.25" customHeight="1" x14ac:dyDescent="0.3">
      <c r="A112" t="s">
        <v>247</v>
      </c>
      <c r="B112" t="s">
        <v>468</v>
      </c>
      <c r="C112" t="s">
        <v>469</v>
      </c>
    </row>
    <row r="113" spans="1:3" ht="11.25" customHeight="1" x14ac:dyDescent="0.3">
      <c r="A113" t="s">
        <v>247</v>
      </c>
      <c r="B113" t="s">
        <v>470</v>
      </c>
      <c r="C113" t="s">
        <v>471</v>
      </c>
    </row>
    <row r="114" spans="1:3" ht="11.25" customHeight="1" x14ac:dyDescent="0.3">
      <c r="A114" t="s">
        <v>247</v>
      </c>
      <c r="B114" t="s">
        <v>472</v>
      </c>
      <c r="C114" t="s">
        <v>473</v>
      </c>
    </row>
    <row r="115" spans="1:3" ht="11.25" customHeight="1" x14ac:dyDescent="0.3">
      <c r="A115" t="s">
        <v>247</v>
      </c>
      <c r="B115" t="s">
        <v>474</v>
      </c>
      <c r="C115" t="s">
        <v>475</v>
      </c>
    </row>
    <row r="116" spans="1:3" ht="11.25" customHeight="1" x14ac:dyDescent="0.3">
      <c r="A116" t="s">
        <v>247</v>
      </c>
      <c r="B116" t="s">
        <v>476</v>
      </c>
      <c r="C116" t="s">
        <v>477</v>
      </c>
    </row>
    <row r="117" spans="1:3" ht="11.25" customHeight="1" x14ac:dyDescent="0.3">
      <c r="A117" t="s">
        <v>247</v>
      </c>
      <c r="B117" t="s">
        <v>478</v>
      </c>
      <c r="C117" t="s">
        <v>479</v>
      </c>
    </row>
    <row r="118" spans="1:3" ht="11.25" customHeight="1" x14ac:dyDescent="0.3">
      <c r="A118" t="s">
        <v>247</v>
      </c>
      <c r="B118" t="s">
        <v>480</v>
      </c>
      <c r="C118" t="s">
        <v>481</v>
      </c>
    </row>
    <row r="119" spans="1:3" ht="11.25" customHeight="1" x14ac:dyDescent="0.3">
      <c r="A119" t="s">
        <v>247</v>
      </c>
      <c r="B119" t="s">
        <v>482</v>
      </c>
      <c r="C119" t="s">
        <v>483</v>
      </c>
    </row>
    <row r="120" spans="1:3" ht="11.25" customHeight="1" x14ac:dyDescent="0.3">
      <c r="A120" t="s">
        <v>247</v>
      </c>
      <c r="B120" t="s">
        <v>484</v>
      </c>
      <c r="C120" t="s">
        <v>485</v>
      </c>
    </row>
    <row r="121" spans="1:3" ht="11.25" customHeight="1" x14ac:dyDescent="0.3">
      <c r="A121" t="s">
        <v>247</v>
      </c>
      <c r="B121" t="s">
        <v>486</v>
      </c>
      <c r="C121" t="s">
        <v>487</v>
      </c>
    </row>
    <row r="122" spans="1:3" ht="11.25" customHeight="1" x14ac:dyDescent="0.3">
      <c r="A122" t="s">
        <v>247</v>
      </c>
      <c r="B122" t="s">
        <v>488</v>
      </c>
      <c r="C122" t="s">
        <v>489</v>
      </c>
    </row>
    <row r="123" spans="1:3" ht="11.25" customHeight="1" x14ac:dyDescent="0.3">
      <c r="A123" t="s">
        <v>247</v>
      </c>
      <c r="B123" t="s">
        <v>490</v>
      </c>
      <c r="C123" t="s">
        <v>491</v>
      </c>
    </row>
    <row r="124" spans="1:3" ht="11.25" customHeight="1" x14ac:dyDescent="0.3">
      <c r="A124" t="s">
        <v>247</v>
      </c>
      <c r="B124" t="s">
        <v>492</v>
      </c>
      <c r="C124" t="s">
        <v>493</v>
      </c>
    </row>
    <row r="125" spans="1:3" ht="11.25" customHeight="1" x14ac:dyDescent="0.3">
      <c r="A125" t="s">
        <v>247</v>
      </c>
      <c r="B125" t="s">
        <v>494</v>
      </c>
      <c r="C125" t="s">
        <v>495</v>
      </c>
    </row>
    <row r="126" spans="1:3" ht="11.25" customHeight="1" x14ac:dyDescent="0.3">
      <c r="A126" t="s">
        <v>247</v>
      </c>
      <c r="B126" t="s">
        <v>496</v>
      </c>
      <c r="C126" t="s">
        <v>497</v>
      </c>
    </row>
    <row r="127" spans="1:3" ht="11.25" customHeight="1" x14ac:dyDescent="0.3">
      <c r="A127" t="s">
        <v>247</v>
      </c>
      <c r="B127" t="s">
        <v>498</v>
      </c>
      <c r="C127" t="s">
        <v>499</v>
      </c>
    </row>
    <row r="128" spans="1:3" ht="11.25" customHeight="1" x14ac:dyDescent="0.3">
      <c r="A128" t="s">
        <v>247</v>
      </c>
      <c r="B128" t="s">
        <v>500</v>
      </c>
      <c r="C128" t="s">
        <v>501</v>
      </c>
    </row>
    <row r="129" spans="1:3" ht="11.25" customHeight="1" x14ac:dyDescent="0.3">
      <c r="A129" t="s">
        <v>247</v>
      </c>
      <c r="B129" t="s">
        <v>502</v>
      </c>
      <c r="C129" t="s">
        <v>503</v>
      </c>
    </row>
    <row r="130" spans="1:3" ht="11.25" customHeight="1" x14ac:dyDescent="0.3">
      <c r="A130" t="s">
        <v>247</v>
      </c>
      <c r="B130" t="s">
        <v>504</v>
      </c>
      <c r="C130" t="s">
        <v>505</v>
      </c>
    </row>
    <row r="131" spans="1:3" ht="11.25" customHeight="1" x14ac:dyDescent="0.3">
      <c r="A131" t="s">
        <v>247</v>
      </c>
      <c r="B131" t="s">
        <v>506</v>
      </c>
      <c r="C131" t="s">
        <v>507</v>
      </c>
    </row>
    <row r="132" spans="1:3" ht="11.25" customHeight="1" x14ac:dyDescent="0.3">
      <c r="A132" t="s">
        <v>247</v>
      </c>
      <c r="B132" t="s">
        <v>508</v>
      </c>
      <c r="C132" t="s">
        <v>509</v>
      </c>
    </row>
    <row r="133" spans="1:3" ht="11.25" customHeight="1" x14ac:dyDescent="0.3">
      <c r="A133" t="s">
        <v>247</v>
      </c>
      <c r="B133" t="s">
        <v>510</v>
      </c>
      <c r="C133" t="s">
        <v>511</v>
      </c>
    </row>
    <row r="134" spans="1:3" ht="11.25" customHeight="1" x14ac:dyDescent="0.3">
      <c r="A134" t="s">
        <v>247</v>
      </c>
      <c r="B134" t="s">
        <v>512</v>
      </c>
      <c r="C134" t="s">
        <v>513</v>
      </c>
    </row>
    <row r="135" spans="1:3" ht="11.25" customHeight="1" x14ac:dyDescent="0.3">
      <c r="A135" t="s">
        <v>247</v>
      </c>
      <c r="B135" t="s">
        <v>514</v>
      </c>
      <c r="C135" t="s">
        <v>515</v>
      </c>
    </row>
    <row r="136" spans="1:3" ht="11.25" customHeight="1" x14ac:dyDescent="0.3">
      <c r="A136" t="s">
        <v>247</v>
      </c>
      <c r="B136" t="s">
        <v>516</v>
      </c>
      <c r="C136" t="s">
        <v>517</v>
      </c>
    </row>
    <row r="137" spans="1:3" ht="11.25" customHeight="1" x14ac:dyDescent="0.3">
      <c r="A137" t="s">
        <v>247</v>
      </c>
      <c r="B137" t="s">
        <v>518</v>
      </c>
      <c r="C137" t="s">
        <v>519</v>
      </c>
    </row>
    <row r="138" spans="1:3" ht="11.25" customHeight="1" x14ac:dyDescent="0.3">
      <c r="A138" t="s">
        <v>247</v>
      </c>
      <c r="B138" t="s">
        <v>520</v>
      </c>
      <c r="C138" t="s">
        <v>521</v>
      </c>
    </row>
    <row r="139" spans="1:3" ht="11.25" customHeight="1" x14ac:dyDescent="0.3">
      <c r="A139" t="s">
        <v>247</v>
      </c>
      <c r="B139" t="s">
        <v>522</v>
      </c>
      <c r="C139" t="s">
        <v>523</v>
      </c>
    </row>
    <row r="140" spans="1:3" ht="11.25" customHeight="1" x14ac:dyDescent="0.3">
      <c r="A140" t="s">
        <v>247</v>
      </c>
      <c r="B140" t="s">
        <v>524</v>
      </c>
      <c r="C140" t="s">
        <v>525</v>
      </c>
    </row>
    <row r="141" spans="1:3" ht="11.25" customHeight="1" x14ac:dyDescent="0.3">
      <c r="A141" t="s">
        <v>247</v>
      </c>
      <c r="B141" t="s">
        <v>526</v>
      </c>
      <c r="C141" t="s">
        <v>527</v>
      </c>
    </row>
    <row r="142" spans="1:3" ht="11.25" customHeight="1" x14ac:dyDescent="0.3">
      <c r="A142" t="s">
        <v>247</v>
      </c>
      <c r="B142" t="s">
        <v>528</v>
      </c>
      <c r="C142" t="s">
        <v>529</v>
      </c>
    </row>
    <row r="143" spans="1:3" ht="11.25" customHeight="1" x14ac:dyDescent="0.3">
      <c r="A143" t="s">
        <v>247</v>
      </c>
      <c r="B143" t="s">
        <v>530</v>
      </c>
      <c r="C143" t="s">
        <v>531</v>
      </c>
    </row>
    <row r="144" spans="1:3" ht="11.25" customHeight="1" x14ac:dyDescent="0.3">
      <c r="A144" t="s">
        <v>247</v>
      </c>
      <c r="B144" t="s">
        <v>532</v>
      </c>
      <c r="C144" t="s">
        <v>533</v>
      </c>
    </row>
    <row r="145" spans="1:3" ht="11.25" customHeight="1" x14ac:dyDescent="0.3">
      <c r="A145" t="s">
        <v>247</v>
      </c>
      <c r="B145" t="s">
        <v>534</v>
      </c>
      <c r="C145" t="s">
        <v>535</v>
      </c>
    </row>
    <row r="146" spans="1:3" ht="11.25" customHeight="1" x14ac:dyDescent="0.3">
      <c r="A146" t="s">
        <v>247</v>
      </c>
      <c r="B146" t="s">
        <v>536</v>
      </c>
      <c r="C146" t="s">
        <v>537</v>
      </c>
    </row>
    <row r="147" spans="1:3" ht="11.25" customHeight="1" x14ac:dyDescent="0.3">
      <c r="A147" t="s">
        <v>247</v>
      </c>
      <c r="B147" t="s">
        <v>538</v>
      </c>
      <c r="C147" t="s">
        <v>539</v>
      </c>
    </row>
    <row r="148" spans="1:3" ht="11.25" customHeight="1" x14ac:dyDescent="0.3">
      <c r="A148" t="s">
        <v>247</v>
      </c>
      <c r="B148" t="s">
        <v>540</v>
      </c>
      <c r="C148" t="s">
        <v>541</v>
      </c>
    </row>
  </sheetData>
  <sheetProtection formatColumns="0" formatRows="0" insertRows="0" deleteColumns="0" deleteRows="0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09D7-34F3-43F9-5D7A-8616E9E9EC7F}">
  <sheetPr>
    <tabColor rgb="FFFFCC99"/>
  </sheetPr>
  <dimension ref="A1:I534"/>
  <sheetViews>
    <sheetView showGridLines="0" workbookViewId="0"/>
  </sheetViews>
  <sheetFormatPr defaultColWidth="9.109375" defaultRowHeight="11.25" customHeight="1" x14ac:dyDescent="0.3"/>
  <sheetData>
    <row r="1" spans="1:9" ht="11.25" customHeight="1" x14ac:dyDescent="0.3">
      <c r="A1" t="s">
        <v>542</v>
      </c>
      <c r="B1" t="s">
        <v>543</v>
      </c>
      <c r="C1" t="s">
        <v>544</v>
      </c>
      <c r="D1" t="s">
        <v>77</v>
      </c>
      <c r="E1" t="s">
        <v>84</v>
      </c>
      <c r="F1" t="s">
        <v>92</v>
      </c>
      <c r="G1" t="s">
        <v>545</v>
      </c>
      <c r="H1" t="s">
        <v>546</v>
      </c>
      <c r="I1" t="s">
        <v>547</v>
      </c>
    </row>
    <row r="2" spans="1:9" ht="11.25" customHeight="1" x14ac:dyDescent="0.3">
      <c r="A2" t="s">
        <v>548</v>
      </c>
      <c r="B2" t="s">
        <v>174</v>
      </c>
      <c r="C2" t="s">
        <v>549</v>
      </c>
      <c r="D2" t="s">
        <v>550</v>
      </c>
      <c r="E2" t="s">
        <v>551</v>
      </c>
      <c r="F2" t="s">
        <v>552</v>
      </c>
      <c r="G2" t="s">
        <v>553</v>
      </c>
      <c r="H2" t="s">
        <v>554</v>
      </c>
      <c r="I2" t="s">
        <v>555</v>
      </c>
    </row>
    <row r="3" spans="1:9" ht="11.25" customHeight="1" x14ac:dyDescent="0.3">
      <c r="A3" t="s">
        <v>548</v>
      </c>
      <c r="B3" t="s">
        <v>174</v>
      </c>
      <c r="C3" t="s">
        <v>556</v>
      </c>
      <c r="D3" t="s">
        <v>557</v>
      </c>
      <c r="E3" t="s">
        <v>558</v>
      </c>
      <c r="F3" t="s">
        <v>559</v>
      </c>
      <c r="G3" t="s">
        <v>554</v>
      </c>
      <c r="H3" t="s">
        <v>554</v>
      </c>
      <c r="I3" t="s">
        <v>555</v>
      </c>
    </row>
    <row r="4" spans="1:9" ht="11.25" customHeight="1" x14ac:dyDescent="0.3">
      <c r="A4" t="s">
        <v>548</v>
      </c>
      <c r="B4" t="s">
        <v>174</v>
      </c>
      <c r="C4" t="s">
        <v>560</v>
      </c>
      <c r="D4" t="s">
        <v>561</v>
      </c>
      <c r="E4" t="s">
        <v>562</v>
      </c>
      <c r="F4" t="s">
        <v>563</v>
      </c>
      <c r="G4" t="s">
        <v>554</v>
      </c>
      <c r="H4" t="s">
        <v>554</v>
      </c>
      <c r="I4" t="s">
        <v>555</v>
      </c>
    </row>
    <row r="5" spans="1:9" ht="11.25" customHeight="1" x14ac:dyDescent="0.3">
      <c r="A5" t="s">
        <v>548</v>
      </c>
      <c r="B5" t="s">
        <v>174</v>
      </c>
      <c r="C5" t="s">
        <v>564</v>
      </c>
      <c r="D5" t="s">
        <v>565</v>
      </c>
      <c r="E5" t="s">
        <v>566</v>
      </c>
      <c r="F5" t="s">
        <v>567</v>
      </c>
      <c r="G5" t="s">
        <v>568</v>
      </c>
      <c r="H5" t="s">
        <v>554</v>
      </c>
      <c r="I5" t="s">
        <v>555</v>
      </c>
    </row>
    <row r="6" spans="1:9" ht="11.25" customHeight="1" x14ac:dyDescent="0.3">
      <c r="A6" t="s">
        <v>548</v>
      </c>
      <c r="B6" t="s">
        <v>174</v>
      </c>
      <c r="C6" t="s">
        <v>569</v>
      </c>
      <c r="D6" t="s">
        <v>570</v>
      </c>
      <c r="E6" t="s">
        <v>571</v>
      </c>
      <c r="F6" t="s">
        <v>572</v>
      </c>
      <c r="G6" t="s">
        <v>554</v>
      </c>
      <c r="H6" t="s">
        <v>554</v>
      </c>
      <c r="I6" t="s">
        <v>555</v>
      </c>
    </row>
    <row r="7" spans="1:9" ht="11.25" customHeight="1" x14ac:dyDescent="0.3">
      <c r="A7" t="s">
        <v>548</v>
      </c>
      <c r="B7" t="s">
        <v>174</v>
      </c>
      <c r="C7" t="s">
        <v>573</v>
      </c>
      <c r="D7" t="s">
        <v>574</v>
      </c>
      <c r="E7" t="s">
        <v>575</v>
      </c>
      <c r="F7" t="s">
        <v>576</v>
      </c>
      <c r="G7" t="s">
        <v>577</v>
      </c>
      <c r="H7" t="s">
        <v>554</v>
      </c>
      <c r="I7" t="s">
        <v>555</v>
      </c>
    </row>
    <row r="8" spans="1:9" ht="11.25" customHeight="1" x14ac:dyDescent="0.3">
      <c r="A8" t="s">
        <v>548</v>
      </c>
      <c r="B8" t="s">
        <v>174</v>
      </c>
      <c r="C8" t="s">
        <v>578</v>
      </c>
      <c r="D8" t="s">
        <v>579</v>
      </c>
      <c r="E8" t="s">
        <v>575</v>
      </c>
      <c r="F8" t="s">
        <v>580</v>
      </c>
      <c r="G8" t="s">
        <v>577</v>
      </c>
      <c r="H8" t="s">
        <v>554</v>
      </c>
      <c r="I8" t="s">
        <v>555</v>
      </c>
    </row>
    <row r="9" spans="1:9" ht="11.25" customHeight="1" x14ac:dyDescent="0.3">
      <c r="A9" t="s">
        <v>548</v>
      </c>
      <c r="B9" t="s">
        <v>174</v>
      </c>
      <c r="C9" t="s">
        <v>581</v>
      </c>
      <c r="D9" t="s">
        <v>582</v>
      </c>
      <c r="E9" t="s">
        <v>583</v>
      </c>
      <c r="F9" t="s">
        <v>584</v>
      </c>
      <c r="G9" t="s">
        <v>554</v>
      </c>
      <c r="H9" t="s">
        <v>554</v>
      </c>
      <c r="I9" t="s">
        <v>555</v>
      </c>
    </row>
    <row r="10" spans="1:9" ht="11.25" customHeight="1" x14ac:dyDescent="0.3">
      <c r="A10" t="s">
        <v>548</v>
      </c>
      <c r="B10" t="s">
        <v>174</v>
      </c>
      <c r="C10" t="s">
        <v>585</v>
      </c>
      <c r="D10" t="s">
        <v>586</v>
      </c>
      <c r="E10" t="s">
        <v>587</v>
      </c>
      <c r="F10" t="s">
        <v>588</v>
      </c>
      <c r="G10" t="s">
        <v>589</v>
      </c>
      <c r="H10" t="s">
        <v>554</v>
      </c>
      <c r="I10" t="s">
        <v>555</v>
      </c>
    </row>
    <row r="11" spans="1:9" ht="11.25" customHeight="1" x14ac:dyDescent="0.3">
      <c r="A11" t="s">
        <v>548</v>
      </c>
      <c r="B11" t="s">
        <v>174</v>
      </c>
      <c r="C11" t="s">
        <v>590</v>
      </c>
      <c r="D11" t="s">
        <v>591</v>
      </c>
      <c r="E11" t="s">
        <v>592</v>
      </c>
      <c r="F11" t="s">
        <v>588</v>
      </c>
      <c r="G11" t="s">
        <v>554</v>
      </c>
      <c r="H11" t="s">
        <v>554</v>
      </c>
      <c r="I11" t="s">
        <v>555</v>
      </c>
    </row>
    <row r="12" spans="1:9" ht="11.25" customHeight="1" x14ac:dyDescent="0.3">
      <c r="A12" t="s">
        <v>548</v>
      </c>
      <c r="B12" t="s">
        <v>174</v>
      </c>
      <c r="C12" t="s">
        <v>593</v>
      </c>
      <c r="D12" t="s">
        <v>594</v>
      </c>
      <c r="E12" t="s">
        <v>595</v>
      </c>
      <c r="F12" t="s">
        <v>596</v>
      </c>
      <c r="G12" t="s">
        <v>554</v>
      </c>
      <c r="H12" t="s">
        <v>554</v>
      </c>
      <c r="I12" t="s">
        <v>555</v>
      </c>
    </row>
    <row r="13" spans="1:9" ht="11.25" customHeight="1" x14ac:dyDescent="0.3">
      <c r="A13" t="s">
        <v>548</v>
      </c>
      <c r="B13" t="s">
        <v>174</v>
      </c>
      <c r="C13" t="s">
        <v>597</v>
      </c>
      <c r="D13" t="s">
        <v>598</v>
      </c>
      <c r="E13" t="s">
        <v>599</v>
      </c>
      <c r="F13" t="s">
        <v>600</v>
      </c>
      <c r="G13" t="s">
        <v>554</v>
      </c>
      <c r="H13" t="s">
        <v>554</v>
      </c>
      <c r="I13" t="s">
        <v>555</v>
      </c>
    </row>
    <row r="14" spans="1:9" ht="11.25" customHeight="1" x14ac:dyDescent="0.3">
      <c r="A14" t="s">
        <v>548</v>
      </c>
      <c r="B14" t="s">
        <v>174</v>
      </c>
      <c r="C14" t="s">
        <v>601</v>
      </c>
      <c r="D14" t="s">
        <v>602</v>
      </c>
      <c r="E14" t="s">
        <v>603</v>
      </c>
      <c r="F14" t="s">
        <v>604</v>
      </c>
      <c r="G14" t="s">
        <v>605</v>
      </c>
      <c r="H14" t="s">
        <v>554</v>
      </c>
      <c r="I14" t="s">
        <v>555</v>
      </c>
    </row>
    <row r="15" spans="1:9" ht="11.25" customHeight="1" x14ac:dyDescent="0.3">
      <c r="A15" t="s">
        <v>548</v>
      </c>
      <c r="B15" t="s">
        <v>174</v>
      </c>
      <c r="C15" t="s">
        <v>606</v>
      </c>
      <c r="D15" t="s">
        <v>607</v>
      </c>
      <c r="E15" t="s">
        <v>608</v>
      </c>
      <c r="F15" t="s">
        <v>576</v>
      </c>
      <c r="G15" t="s">
        <v>554</v>
      </c>
      <c r="H15" t="s">
        <v>554</v>
      </c>
      <c r="I15" t="s">
        <v>555</v>
      </c>
    </row>
    <row r="16" spans="1:9" ht="11.25" customHeight="1" x14ac:dyDescent="0.3">
      <c r="A16" t="s">
        <v>548</v>
      </c>
      <c r="B16" t="s">
        <v>174</v>
      </c>
      <c r="C16" t="s">
        <v>609</v>
      </c>
      <c r="D16" t="s">
        <v>610</v>
      </c>
      <c r="E16" t="s">
        <v>611</v>
      </c>
      <c r="F16" t="s">
        <v>612</v>
      </c>
      <c r="G16" t="s">
        <v>554</v>
      </c>
      <c r="H16" t="s">
        <v>554</v>
      </c>
      <c r="I16" t="s">
        <v>555</v>
      </c>
    </row>
    <row r="17" spans="1:9" ht="11.25" customHeight="1" x14ac:dyDescent="0.3">
      <c r="A17" t="s">
        <v>548</v>
      </c>
      <c r="B17" t="s">
        <v>174</v>
      </c>
      <c r="C17" t="s">
        <v>613</v>
      </c>
      <c r="D17" t="s">
        <v>614</v>
      </c>
      <c r="E17" t="s">
        <v>615</v>
      </c>
      <c r="F17" t="s">
        <v>616</v>
      </c>
      <c r="G17" t="s">
        <v>554</v>
      </c>
      <c r="H17" t="s">
        <v>554</v>
      </c>
      <c r="I17" t="s">
        <v>555</v>
      </c>
    </row>
    <row r="18" spans="1:9" ht="11.25" customHeight="1" x14ac:dyDescent="0.3">
      <c r="A18" t="s">
        <v>548</v>
      </c>
      <c r="B18" t="s">
        <v>174</v>
      </c>
      <c r="C18" t="s">
        <v>617</v>
      </c>
      <c r="D18" t="s">
        <v>618</v>
      </c>
      <c r="E18" t="s">
        <v>619</v>
      </c>
      <c r="F18" t="s">
        <v>620</v>
      </c>
      <c r="G18" t="s">
        <v>621</v>
      </c>
      <c r="H18" t="s">
        <v>554</v>
      </c>
      <c r="I18" t="s">
        <v>555</v>
      </c>
    </row>
    <row r="19" spans="1:9" ht="11.25" customHeight="1" x14ac:dyDescent="0.3">
      <c r="A19" t="s">
        <v>548</v>
      </c>
      <c r="B19" t="s">
        <v>174</v>
      </c>
      <c r="C19" t="s">
        <v>622</v>
      </c>
      <c r="D19" t="s">
        <v>623</v>
      </c>
      <c r="E19" t="s">
        <v>624</v>
      </c>
      <c r="F19" t="s">
        <v>584</v>
      </c>
      <c r="G19" t="s">
        <v>625</v>
      </c>
      <c r="H19" t="s">
        <v>554</v>
      </c>
      <c r="I19" t="s">
        <v>555</v>
      </c>
    </row>
    <row r="20" spans="1:9" ht="11.25" customHeight="1" x14ac:dyDescent="0.3">
      <c r="A20" t="s">
        <v>548</v>
      </c>
      <c r="B20" t="s">
        <v>174</v>
      </c>
      <c r="C20" t="s">
        <v>626</v>
      </c>
      <c r="D20" t="s">
        <v>627</v>
      </c>
      <c r="E20" t="s">
        <v>628</v>
      </c>
      <c r="F20" t="s">
        <v>596</v>
      </c>
      <c r="G20" t="s">
        <v>554</v>
      </c>
      <c r="H20" t="s">
        <v>554</v>
      </c>
      <c r="I20" t="s">
        <v>555</v>
      </c>
    </row>
    <row r="21" spans="1:9" ht="11.25" customHeight="1" x14ac:dyDescent="0.3">
      <c r="A21" t="s">
        <v>548</v>
      </c>
      <c r="B21" t="s">
        <v>174</v>
      </c>
      <c r="C21" t="s">
        <v>629</v>
      </c>
      <c r="D21" t="s">
        <v>630</v>
      </c>
      <c r="E21" t="s">
        <v>631</v>
      </c>
      <c r="F21" t="s">
        <v>572</v>
      </c>
      <c r="G21" t="s">
        <v>554</v>
      </c>
      <c r="H21" t="s">
        <v>554</v>
      </c>
      <c r="I21" t="s">
        <v>555</v>
      </c>
    </row>
    <row r="22" spans="1:9" ht="11.25" customHeight="1" x14ac:dyDescent="0.3">
      <c r="A22" t="s">
        <v>548</v>
      </c>
      <c r="B22" t="s">
        <v>174</v>
      </c>
      <c r="C22" t="s">
        <v>632</v>
      </c>
      <c r="D22" t="s">
        <v>633</v>
      </c>
      <c r="E22" t="s">
        <v>634</v>
      </c>
      <c r="F22" t="s">
        <v>596</v>
      </c>
      <c r="G22" t="s">
        <v>554</v>
      </c>
      <c r="H22" t="s">
        <v>554</v>
      </c>
      <c r="I22" t="s">
        <v>555</v>
      </c>
    </row>
    <row r="23" spans="1:9" ht="11.25" customHeight="1" x14ac:dyDescent="0.3">
      <c r="A23" t="s">
        <v>548</v>
      </c>
      <c r="B23" t="s">
        <v>174</v>
      </c>
      <c r="C23" t="s">
        <v>635</v>
      </c>
      <c r="D23" t="s">
        <v>636</v>
      </c>
      <c r="E23" t="s">
        <v>637</v>
      </c>
      <c r="F23" t="s">
        <v>638</v>
      </c>
      <c r="G23" t="s">
        <v>639</v>
      </c>
      <c r="H23" t="s">
        <v>554</v>
      </c>
      <c r="I23" t="s">
        <v>555</v>
      </c>
    </row>
    <row r="24" spans="1:9" ht="11.25" customHeight="1" x14ac:dyDescent="0.3">
      <c r="A24" t="s">
        <v>548</v>
      </c>
      <c r="B24" t="s">
        <v>174</v>
      </c>
      <c r="C24" t="s">
        <v>640</v>
      </c>
      <c r="D24" t="s">
        <v>641</v>
      </c>
      <c r="E24" t="s">
        <v>642</v>
      </c>
      <c r="F24" t="s">
        <v>638</v>
      </c>
      <c r="G24" t="s">
        <v>643</v>
      </c>
      <c r="H24" t="s">
        <v>554</v>
      </c>
      <c r="I24" t="s">
        <v>555</v>
      </c>
    </row>
    <row r="25" spans="1:9" ht="11.25" customHeight="1" x14ac:dyDescent="0.3">
      <c r="A25" t="s">
        <v>548</v>
      </c>
      <c r="B25" t="s">
        <v>174</v>
      </c>
      <c r="C25" t="s">
        <v>644</v>
      </c>
      <c r="D25" t="s">
        <v>645</v>
      </c>
      <c r="E25" t="s">
        <v>646</v>
      </c>
      <c r="F25" t="s">
        <v>600</v>
      </c>
      <c r="G25" t="s">
        <v>647</v>
      </c>
      <c r="H25" t="s">
        <v>554</v>
      </c>
      <c r="I25" t="s">
        <v>555</v>
      </c>
    </row>
    <row r="26" spans="1:9" ht="11.25" customHeight="1" x14ac:dyDescent="0.3">
      <c r="A26" t="s">
        <v>548</v>
      </c>
      <c r="B26" t="s">
        <v>174</v>
      </c>
      <c r="C26" t="s">
        <v>648</v>
      </c>
      <c r="D26" t="s">
        <v>649</v>
      </c>
      <c r="E26" t="s">
        <v>650</v>
      </c>
      <c r="F26" t="s">
        <v>651</v>
      </c>
      <c r="G26" t="s">
        <v>652</v>
      </c>
      <c r="H26" t="s">
        <v>554</v>
      </c>
      <c r="I26" t="s">
        <v>555</v>
      </c>
    </row>
    <row r="27" spans="1:9" ht="11.25" customHeight="1" x14ac:dyDescent="0.3">
      <c r="A27" t="s">
        <v>548</v>
      </c>
      <c r="B27" t="s">
        <v>174</v>
      </c>
      <c r="C27" t="s">
        <v>653</v>
      </c>
      <c r="D27" t="s">
        <v>654</v>
      </c>
      <c r="E27" t="s">
        <v>655</v>
      </c>
      <c r="F27" t="s">
        <v>596</v>
      </c>
      <c r="G27" t="s">
        <v>656</v>
      </c>
      <c r="H27" t="s">
        <v>554</v>
      </c>
      <c r="I27" t="s">
        <v>555</v>
      </c>
    </row>
    <row r="28" spans="1:9" ht="11.25" customHeight="1" x14ac:dyDescent="0.3">
      <c r="A28" t="s">
        <v>548</v>
      </c>
      <c r="B28" t="s">
        <v>174</v>
      </c>
      <c r="C28" t="s">
        <v>657</v>
      </c>
      <c r="D28" t="s">
        <v>658</v>
      </c>
      <c r="E28" t="s">
        <v>659</v>
      </c>
      <c r="F28" t="s">
        <v>596</v>
      </c>
      <c r="G28" t="s">
        <v>554</v>
      </c>
      <c r="H28" t="s">
        <v>554</v>
      </c>
      <c r="I28" t="s">
        <v>555</v>
      </c>
    </row>
    <row r="29" spans="1:9" ht="11.25" customHeight="1" x14ac:dyDescent="0.3">
      <c r="A29" t="s">
        <v>548</v>
      </c>
      <c r="B29" t="s">
        <v>174</v>
      </c>
      <c r="C29" t="s">
        <v>660</v>
      </c>
      <c r="D29" t="s">
        <v>661</v>
      </c>
      <c r="E29" t="s">
        <v>662</v>
      </c>
      <c r="F29" t="s">
        <v>663</v>
      </c>
      <c r="G29" t="s">
        <v>664</v>
      </c>
      <c r="H29" t="s">
        <v>554</v>
      </c>
      <c r="I29" t="s">
        <v>555</v>
      </c>
    </row>
    <row r="30" spans="1:9" ht="11.25" customHeight="1" x14ac:dyDescent="0.3">
      <c r="A30" t="s">
        <v>548</v>
      </c>
      <c r="B30" t="s">
        <v>174</v>
      </c>
      <c r="C30" t="s">
        <v>665</v>
      </c>
      <c r="D30" t="s">
        <v>666</v>
      </c>
      <c r="E30" t="s">
        <v>667</v>
      </c>
      <c r="F30" t="s">
        <v>600</v>
      </c>
      <c r="G30" t="s">
        <v>554</v>
      </c>
      <c r="H30" t="s">
        <v>554</v>
      </c>
      <c r="I30" t="s">
        <v>555</v>
      </c>
    </row>
    <row r="31" spans="1:9" ht="11.25" customHeight="1" x14ac:dyDescent="0.3">
      <c r="A31" t="s">
        <v>548</v>
      </c>
      <c r="B31" t="s">
        <v>174</v>
      </c>
      <c r="C31" t="s">
        <v>668</v>
      </c>
      <c r="D31" t="s">
        <v>669</v>
      </c>
      <c r="E31" t="s">
        <v>670</v>
      </c>
      <c r="F31" t="s">
        <v>671</v>
      </c>
      <c r="G31" t="s">
        <v>554</v>
      </c>
      <c r="H31" t="s">
        <v>554</v>
      </c>
      <c r="I31" t="s">
        <v>555</v>
      </c>
    </row>
    <row r="32" spans="1:9" ht="11.25" customHeight="1" x14ac:dyDescent="0.3">
      <c r="A32" t="s">
        <v>548</v>
      </c>
      <c r="B32" t="s">
        <v>174</v>
      </c>
      <c r="C32" t="s">
        <v>672</v>
      </c>
      <c r="D32" t="s">
        <v>673</v>
      </c>
      <c r="E32" t="s">
        <v>674</v>
      </c>
      <c r="F32" t="s">
        <v>563</v>
      </c>
      <c r="G32" t="s">
        <v>675</v>
      </c>
      <c r="H32" t="s">
        <v>554</v>
      </c>
      <c r="I32" t="s">
        <v>555</v>
      </c>
    </row>
    <row r="33" spans="1:9" ht="11.25" customHeight="1" x14ac:dyDescent="0.3">
      <c r="A33" t="s">
        <v>548</v>
      </c>
      <c r="B33" t="s">
        <v>174</v>
      </c>
      <c r="C33" t="s">
        <v>676</v>
      </c>
      <c r="D33" t="s">
        <v>677</v>
      </c>
      <c r="E33" t="s">
        <v>678</v>
      </c>
      <c r="F33" t="s">
        <v>679</v>
      </c>
      <c r="G33" t="s">
        <v>680</v>
      </c>
      <c r="H33" t="s">
        <v>554</v>
      </c>
      <c r="I33" t="s">
        <v>555</v>
      </c>
    </row>
    <row r="34" spans="1:9" ht="11.25" customHeight="1" x14ac:dyDescent="0.3">
      <c r="A34" t="s">
        <v>548</v>
      </c>
      <c r="B34" t="s">
        <v>174</v>
      </c>
      <c r="C34" t="s">
        <v>681</v>
      </c>
      <c r="D34" t="s">
        <v>682</v>
      </c>
      <c r="E34" t="s">
        <v>683</v>
      </c>
      <c r="F34" t="s">
        <v>684</v>
      </c>
      <c r="G34" t="s">
        <v>685</v>
      </c>
      <c r="H34" t="s">
        <v>554</v>
      </c>
      <c r="I34" t="s">
        <v>555</v>
      </c>
    </row>
    <row r="35" spans="1:9" ht="11.25" customHeight="1" x14ac:dyDescent="0.3">
      <c r="A35" t="s">
        <v>548</v>
      </c>
      <c r="B35" t="s">
        <v>174</v>
      </c>
      <c r="C35" t="s">
        <v>686</v>
      </c>
      <c r="D35" t="s">
        <v>687</v>
      </c>
      <c r="E35" t="s">
        <v>688</v>
      </c>
      <c r="F35" t="s">
        <v>26</v>
      </c>
      <c r="G35" t="s">
        <v>689</v>
      </c>
      <c r="H35" t="s">
        <v>554</v>
      </c>
      <c r="I35" t="s">
        <v>555</v>
      </c>
    </row>
    <row r="36" spans="1:9" ht="11.25" customHeight="1" x14ac:dyDescent="0.3">
      <c r="A36" t="s">
        <v>548</v>
      </c>
      <c r="B36" t="s">
        <v>174</v>
      </c>
      <c r="C36" t="s">
        <v>690</v>
      </c>
      <c r="D36" t="s">
        <v>691</v>
      </c>
      <c r="E36" t="s">
        <v>692</v>
      </c>
      <c r="F36" t="s">
        <v>26</v>
      </c>
      <c r="G36" t="s">
        <v>693</v>
      </c>
      <c r="H36" t="s">
        <v>554</v>
      </c>
      <c r="I36" t="s">
        <v>555</v>
      </c>
    </row>
    <row r="37" spans="1:9" ht="11.25" customHeight="1" x14ac:dyDescent="0.3">
      <c r="A37" t="s">
        <v>548</v>
      </c>
      <c r="B37" t="s">
        <v>174</v>
      </c>
      <c r="C37" t="s">
        <v>694</v>
      </c>
      <c r="D37" t="s">
        <v>695</v>
      </c>
      <c r="E37" t="s">
        <v>615</v>
      </c>
      <c r="F37" t="s">
        <v>696</v>
      </c>
      <c r="G37" t="s">
        <v>554</v>
      </c>
      <c r="H37" t="s">
        <v>554</v>
      </c>
      <c r="I37" t="s">
        <v>555</v>
      </c>
    </row>
    <row r="38" spans="1:9" ht="11.25" customHeight="1" x14ac:dyDescent="0.3">
      <c r="A38" t="s">
        <v>548</v>
      </c>
      <c r="B38" t="s">
        <v>174</v>
      </c>
      <c r="C38" t="s">
        <v>697</v>
      </c>
      <c r="D38" t="s">
        <v>698</v>
      </c>
      <c r="E38" t="s">
        <v>699</v>
      </c>
      <c r="F38" t="s">
        <v>700</v>
      </c>
      <c r="G38" t="s">
        <v>701</v>
      </c>
      <c r="H38" t="s">
        <v>554</v>
      </c>
      <c r="I38" t="s">
        <v>555</v>
      </c>
    </row>
    <row r="39" spans="1:9" ht="11.25" customHeight="1" x14ac:dyDescent="0.3">
      <c r="A39" t="s">
        <v>548</v>
      </c>
      <c r="B39" t="s">
        <v>174</v>
      </c>
      <c r="C39" t="s">
        <v>702</v>
      </c>
      <c r="D39" t="s">
        <v>703</v>
      </c>
      <c r="E39" t="s">
        <v>704</v>
      </c>
      <c r="F39" t="s">
        <v>705</v>
      </c>
      <c r="G39" t="s">
        <v>554</v>
      </c>
      <c r="H39" t="s">
        <v>554</v>
      </c>
      <c r="I39" t="s">
        <v>555</v>
      </c>
    </row>
    <row r="40" spans="1:9" ht="11.25" customHeight="1" x14ac:dyDescent="0.3">
      <c r="A40" t="s">
        <v>548</v>
      </c>
      <c r="B40" t="s">
        <v>174</v>
      </c>
      <c r="C40" t="s">
        <v>706</v>
      </c>
      <c r="D40" t="s">
        <v>707</v>
      </c>
      <c r="E40" t="s">
        <v>708</v>
      </c>
      <c r="F40" t="s">
        <v>709</v>
      </c>
      <c r="G40" t="s">
        <v>710</v>
      </c>
      <c r="H40" t="s">
        <v>554</v>
      </c>
      <c r="I40" t="s">
        <v>555</v>
      </c>
    </row>
    <row r="41" spans="1:9" ht="11.25" customHeight="1" x14ac:dyDescent="0.3">
      <c r="A41" t="s">
        <v>548</v>
      </c>
      <c r="B41" t="s">
        <v>174</v>
      </c>
      <c r="C41" t="s">
        <v>711</v>
      </c>
      <c r="D41" t="s">
        <v>712</v>
      </c>
      <c r="E41" t="s">
        <v>713</v>
      </c>
      <c r="F41" t="s">
        <v>638</v>
      </c>
      <c r="G41" t="s">
        <v>554</v>
      </c>
      <c r="H41" t="s">
        <v>554</v>
      </c>
      <c r="I41" t="s">
        <v>555</v>
      </c>
    </row>
    <row r="42" spans="1:9" ht="11.25" customHeight="1" x14ac:dyDescent="0.3">
      <c r="A42" t="s">
        <v>548</v>
      </c>
      <c r="B42" t="s">
        <v>174</v>
      </c>
      <c r="C42" t="s">
        <v>714</v>
      </c>
      <c r="D42" t="s">
        <v>715</v>
      </c>
      <c r="E42" t="s">
        <v>716</v>
      </c>
      <c r="F42" t="s">
        <v>638</v>
      </c>
      <c r="G42" t="s">
        <v>717</v>
      </c>
      <c r="H42" t="s">
        <v>554</v>
      </c>
      <c r="I42" t="s">
        <v>555</v>
      </c>
    </row>
    <row r="43" spans="1:9" ht="11.25" customHeight="1" x14ac:dyDescent="0.3">
      <c r="A43" t="s">
        <v>548</v>
      </c>
      <c r="B43" t="s">
        <v>174</v>
      </c>
      <c r="C43" t="s">
        <v>718</v>
      </c>
      <c r="D43" t="s">
        <v>719</v>
      </c>
      <c r="E43" t="s">
        <v>720</v>
      </c>
      <c r="F43" t="s">
        <v>721</v>
      </c>
      <c r="G43" t="s">
        <v>722</v>
      </c>
      <c r="H43" t="s">
        <v>554</v>
      </c>
      <c r="I43" t="s">
        <v>555</v>
      </c>
    </row>
    <row r="44" spans="1:9" ht="11.25" customHeight="1" x14ac:dyDescent="0.3">
      <c r="A44" t="s">
        <v>548</v>
      </c>
      <c r="B44" t="s">
        <v>174</v>
      </c>
      <c r="C44" t="s">
        <v>723</v>
      </c>
      <c r="D44" t="s">
        <v>724</v>
      </c>
      <c r="E44" t="s">
        <v>725</v>
      </c>
      <c r="F44" t="s">
        <v>638</v>
      </c>
      <c r="G44" t="s">
        <v>726</v>
      </c>
      <c r="H44" t="s">
        <v>554</v>
      </c>
      <c r="I44" t="s">
        <v>555</v>
      </c>
    </row>
    <row r="45" spans="1:9" ht="11.25" customHeight="1" x14ac:dyDescent="0.3">
      <c r="A45" t="s">
        <v>548</v>
      </c>
      <c r="B45" t="s">
        <v>174</v>
      </c>
      <c r="C45" t="s">
        <v>727</v>
      </c>
      <c r="D45" t="s">
        <v>728</v>
      </c>
      <c r="E45" t="s">
        <v>729</v>
      </c>
      <c r="F45" t="s">
        <v>567</v>
      </c>
      <c r="G45" t="s">
        <v>730</v>
      </c>
      <c r="H45" t="s">
        <v>554</v>
      </c>
      <c r="I45" t="s">
        <v>555</v>
      </c>
    </row>
    <row r="46" spans="1:9" ht="11.25" customHeight="1" x14ac:dyDescent="0.3">
      <c r="A46" t="s">
        <v>548</v>
      </c>
      <c r="B46" t="s">
        <v>174</v>
      </c>
      <c r="C46" t="s">
        <v>731</v>
      </c>
      <c r="D46" t="s">
        <v>732</v>
      </c>
      <c r="E46" t="s">
        <v>733</v>
      </c>
      <c r="F46" t="s">
        <v>567</v>
      </c>
      <c r="G46" t="s">
        <v>734</v>
      </c>
      <c r="H46" t="s">
        <v>554</v>
      </c>
      <c r="I46" t="s">
        <v>555</v>
      </c>
    </row>
    <row r="47" spans="1:9" ht="11.25" customHeight="1" x14ac:dyDescent="0.3">
      <c r="A47" t="s">
        <v>548</v>
      </c>
      <c r="B47" t="s">
        <v>174</v>
      </c>
      <c r="C47" t="s">
        <v>735</v>
      </c>
      <c r="D47" t="s">
        <v>736</v>
      </c>
      <c r="E47" t="s">
        <v>737</v>
      </c>
      <c r="F47" t="s">
        <v>709</v>
      </c>
      <c r="G47" t="s">
        <v>738</v>
      </c>
      <c r="H47" t="s">
        <v>554</v>
      </c>
      <c r="I47" t="s">
        <v>555</v>
      </c>
    </row>
    <row r="48" spans="1:9" ht="11.25" customHeight="1" x14ac:dyDescent="0.3">
      <c r="A48" t="s">
        <v>548</v>
      </c>
      <c r="B48" t="s">
        <v>174</v>
      </c>
      <c r="C48" t="s">
        <v>739</v>
      </c>
      <c r="D48" t="s">
        <v>740</v>
      </c>
      <c r="E48" t="s">
        <v>741</v>
      </c>
      <c r="F48" t="s">
        <v>567</v>
      </c>
      <c r="G48" t="s">
        <v>742</v>
      </c>
      <c r="H48" t="s">
        <v>554</v>
      </c>
      <c r="I48" t="s">
        <v>555</v>
      </c>
    </row>
    <row r="49" spans="1:9" ht="11.25" customHeight="1" x14ac:dyDescent="0.3">
      <c r="A49" t="s">
        <v>548</v>
      </c>
      <c r="B49" t="s">
        <v>174</v>
      </c>
      <c r="C49" t="s">
        <v>743</v>
      </c>
      <c r="D49" t="s">
        <v>744</v>
      </c>
      <c r="E49" t="s">
        <v>745</v>
      </c>
      <c r="F49" t="s">
        <v>709</v>
      </c>
      <c r="G49" t="s">
        <v>746</v>
      </c>
      <c r="H49" t="s">
        <v>554</v>
      </c>
      <c r="I49" t="s">
        <v>555</v>
      </c>
    </row>
    <row r="50" spans="1:9" ht="11.25" customHeight="1" x14ac:dyDescent="0.3">
      <c r="A50" t="s">
        <v>548</v>
      </c>
      <c r="B50" t="s">
        <v>174</v>
      </c>
      <c r="C50" t="s">
        <v>747</v>
      </c>
      <c r="D50" t="s">
        <v>748</v>
      </c>
      <c r="E50" t="s">
        <v>749</v>
      </c>
      <c r="F50" t="s">
        <v>584</v>
      </c>
      <c r="G50" t="s">
        <v>554</v>
      </c>
      <c r="H50" t="s">
        <v>554</v>
      </c>
      <c r="I50" t="s">
        <v>555</v>
      </c>
    </row>
    <row r="51" spans="1:9" ht="11.25" customHeight="1" x14ac:dyDescent="0.3">
      <c r="A51" t="s">
        <v>548</v>
      </c>
      <c r="B51" t="s">
        <v>174</v>
      </c>
      <c r="C51" t="s">
        <v>750</v>
      </c>
      <c r="D51" t="s">
        <v>751</v>
      </c>
      <c r="E51" t="s">
        <v>752</v>
      </c>
      <c r="F51" t="s">
        <v>638</v>
      </c>
      <c r="G51" t="s">
        <v>554</v>
      </c>
      <c r="H51" t="s">
        <v>554</v>
      </c>
      <c r="I51" t="s">
        <v>555</v>
      </c>
    </row>
    <row r="52" spans="1:9" ht="11.25" customHeight="1" x14ac:dyDescent="0.3">
      <c r="A52" t="s">
        <v>548</v>
      </c>
      <c r="B52" t="s">
        <v>174</v>
      </c>
      <c r="C52" t="s">
        <v>753</v>
      </c>
      <c r="D52" t="s">
        <v>754</v>
      </c>
      <c r="E52" t="s">
        <v>755</v>
      </c>
      <c r="F52" t="s">
        <v>756</v>
      </c>
      <c r="G52" t="s">
        <v>757</v>
      </c>
      <c r="H52" t="s">
        <v>554</v>
      </c>
      <c r="I52" t="s">
        <v>555</v>
      </c>
    </row>
    <row r="53" spans="1:9" ht="11.25" customHeight="1" x14ac:dyDescent="0.3">
      <c r="A53" t="s">
        <v>548</v>
      </c>
      <c r="B53" t="s">
        <v>174</v>
      </c>
      <c r="C53" t="s">
        <v>758</v>
      </c>
      <c r="D53" t="s">
        <v>759</v>
      </c>
      <c r="E53" t="s">
        <v>760</v>
      </c>
      <c r="F53" t="s">
        <v>761</v>
      </c>
      <c r="G53" t="s">
        <v>762</v>
      </c>
      <c r="H53" t="s">
        <v>554</v>
      </c>
      <c r="I53" t="s">
        <v>555</v>
      </c>
    </row>
    <row r="54" spans="1:9" ht="11.25" customHeight="1" x14ac:dyDescent="0.3">
      <c r="A54" t="s">
        <v>548</v>
      </c>
      <c r="B54" t="s">
        <v>174</v>
      </c>
      <c r="C54" t="s">
        <v>763</v>
      </c>
      <c r="D54" t="s">
        <v>764</v>
      </c>
      <c r="E54" t="s">
        <v>765</v>
      </c>
      <c r="F54" t="s">
        <v>766</v>
      </c>
      <c r="G54" t="s">
        <v>554</v>
      </c>
      <c r="H54" t="s">
        <v>554</v>
      </c>
      <c r="I54" t="s">
        <v>555</v>
      </c>
    </row>
    <row r="55" spans="1:9" ht="11.25" customHeight="1" x14ac:dyDescent="0.3">
      <c r="A55" t="s">
        <v>548</v>
      </c>
      <c r="B55" t="s">
        <v>174</v>
      </c>
      <c r="C55" t="s">
        <v>767</v>
      </c>
      <c r="D55" t="s">
        <v>768</v>
      </c>
      <c r="E55" t="s">
        <v>769</v>
      </c>
      <c r="F55" t="s">
        <v>596</v>
      </c>
      <c r="G55" t="s">
        <v>770</v>
      </c>
      <c r="H55" t="s">
        <v>554</v>
      </c>
      <c r="I55" t="s">
        <v>555</v>
      </c>
    </row>
    <row r="56" spans="1:9" ht="11.25" customHeight="1" x14ac:dyDescent="0.3">
      <c r="A56" t="s">
        <v>548</v>
      </c>
      <c r="B56" t="s">
        <v>174</v>
      </c>
      <c r="C56" t="s">
        <v>771</v>
      </c>
      <c r="D56" t="s">
        <v>772</v>
      </c>
      <c r="E56" t="s">
        <v>773</v>
      </c>
      <c r="F56" t="s">
        <v>638</v>
      </c>
      <c r="G56" t="s">
        <v>554</v>
      </c>
      <c r="H56" t="s">
        <v>554</v>
      </c>
      <c r="I56" t="s">
        <v>555</v>
      </c>
    </row>
    <row r="57" spans="1:9" ht="11.25" customHeight="1" x14ac:dyDescent="0.3">
      <c r="A57" t="s">
        <v>548</v>
      </c>
      <c r="B57" t="s">
        <v>174</v>
      </c>
      <c r="C57" t="s">
        <v>774</v>
      </c>
      <c r="D57" t="s">
        <v>775</v>
      </c>
      <c r="E57" t="s">
        <v>776</v>
      </c>
      <c r="F57" t="s">
        <v>671</v>
      </c>
      <c r="G57" t="s">
        <v>777</v>
      </c>
      <c r="H57" t="s">
        <v>554</v>
      </c>
      <c r="I57" t="s">
        <v>555</v>
      </c>
    </row>
    <row r="58" spans="1:9" ht="11.25" customHeight="1" x14ac:dyDescent="0.3">
      <c r="A58" t="s">
        <v>548</v>
      </c>
      <c r="B58" t="s">
        <v>174</v>
      </c>
      <c r="C58" t="s">
        <v>778</v>
      </c>
      <c r="D58" t="s">
        <v>779</v>
      </c>
      <c r="E58" t="s">
        <v>780</v>
      </c>
      <c r="F58" t="s">
        <v>638</v>
      </c>
      <c r="G58" t="s">
        <v>554</v>
      </c>
      <c r="H58" t="s">
        <v>554</v>
      </c>
      <c r="I58" t="s">
        <v>555</v>
      </c>
    </row>
    <row r="59" spans="1:9" ht="11.25" customHeight="1" x14ac:dyDescent="0.3">
      <c r="A59" t="s">
        <v>548</v>
      </c>
      <c r="B59" t="s">
        <v>174</v>
      </c>
      <c r="C59" t="s">
        <v>781</v>
      </c>
      <c r="D59" t="s">
        <v>782</v>
      </c>
      <c r="E59" t="s">
        <v>783</v>
      </c>
      <c r="F59" t="s">
        <v>784</v>
      </c>
      <c r="G59" t="s">
        <v>785</v>
      </c>
      <c r="H59" t="s">
        <v>554</v>
      </c>
      <c r="I59" t="s">
        <v>555</v>
      </c>
    </row>
    <row r="60" spans="1:9" ht="11.25" customHeight="1" x14ac:dyDescent="0.3">
      <c r="A60" t="s">
        <v>548</v>
      </c>
      <c r="B60" t="s">
        <v>174</v>
      </c>
      <c r="C60" t="s">
        <v>786</v>
      </c>
      <c r="D60" t="s">
        <v>787</v>
      </c>
      <c r="E60" t="s">
        <v>788</v>
      </c>
      <c r="F60" t="s">
        <v>784</v>
      </c>
      <c r="G60" t="s">
        <v>554</v>
      </c>
      <c r="H60" t="s">
        <v>554</v>
      </c>
      <c r="I60" t="s">
        <v>555</v>
      </c>
    </row>
    <row r="61" spans="1:9" ht="11.25" customHeight="1" x14ac:dyDescent="0.3">
      <c r="A61" t="s">
        <v>548</v>
      </c>
      <c r="B61" t="s">
        <v>174</v>
      </c>
      <c r="C61" t="s">
        <v>789</v>
      </c>
      <c r="D61" t="s">
        <v>790</v>
      </c>
      <c r="E61" t="s">
        <v>791</v>
      </c>
      <c r="F61" t="s">
        <v>784</v>
      </c>
      <c r="G61" t="s">
        <v>554</v>
      </c>
      <c r="H61" t="s">
        <v>554</v>
      </c>
      <c r="I61" t="s">
        <v>555</v>
      </c>
    </row>
    <row r="62" spans="1:9" ht="11.25" customHeight="1" x14ac:dyDescent="0.3">
      <c r="A62" t="s">
        <v>548</v>
      </c>
      <c r="B62" t="s">
        <v>174</v>
      </c>
      <c r="C62" t="s">
        <v>792</v>
      </c>
      <c r="D62" t="s">
        <v>790</v>
      </c>
      <c r="E62" t="s">
        <v>793</v>
      </c>
      <c r="F62" t="s">
        <v>794</v>
      </c>
      <c r="G62" t="s">
        <v>795</v>
      </c>
      <c r="H62" t="s">
        <v>554</v>
      </c>
      <c r="I62" t="s">
        <v>555</v>
      </c>
    </row>
    <row r="63" spans="1:9" ht="11.25" customHeight="1" x14ac:dyDescent="0.3">
      <c r="A63" t="s">
        <v>548</v>
      </c>
      <c r="B63" t="s">
        <v>174</v>
      </c>
      <c r="C63" t="s">
        <v>796</v>
      </c>
      <c r="D63" t="s">
        <v>790</v>
      </c>
      <c r="E63" t="s">
        <v>797</v>
      </c>
      <c r="F63" t="s">
        <v>798</v>
      </c>
      <c r="G63" t="s">
        <v>799</v>
      </c>
      <c r="H63" t="s">
        <v>554</v>
      </c>
      <c r="I63" t="s">
        <v>555</v>
      </c>
    </row>
    <row r="64" spans="1:9" ht="11.25" customHeight="1" x14ac:dyDescent="0.3">
      <c r="A64" t="s">
        <v>548</v>
      </c>
      <c r="B64" t="s">
        <v>174</v>
      </c>
      <c r="C64" t="s">
        <v>800</v>
      </c>
      <c r="D64" t="s">
        <v>801</v>
      </c>
      <c r="E64" t="s">
        <v>802</v>
      </c>
      <c r="F64" t="s">
        <v>803</v>
      </c>
      <c r="G64" t="s">
        <v>804</v>
      </c>
      <c r="H64" t="s">
        <v>554</v>
      </c>
      <c r="I64" t="s">
        <v>555</v>
      </c>
    </row>
    <row r="65" spans="1:9" ht="11.25" customHeight="1" x14ac:dyDescent="0.3">
      <c r="A65" t="s">
        <v>548</v>
      </c>
      <c r="B65" t="s">
        <v>174</v>
      </c>
      <c r="C65" t="s">
        <v>805</v>
      </c>
      <c r="D65" t="s">
        <v>806</v>
      </c>
      <c r="E65" t="s">
        <v>807</v>
      </c>
      <c r="F65" t="s">
        <v>700</v>
      </c>
      <c r="G65" t="s">
        <v>808</v>
      </c>
      <c r="H65" t="s">
        <v>554</v>
      </c>
      <c r="I65" t="s">
        <v>555</v>
      </c>
    </row>
    <row r="66" spans="1:9" ht="11.25" customHeight="1" x14ac:dyDescent="0.3">
      <c r="A66" t="s">
        <v>548</v>
      </c>
      <c r="B66" t="s">
        <v>174</v>
      </c>
      <c r="C66" t="s">
        <v>809</v>
      </c>
      <c r="D66" t="s">
        <v>810</v>
      </c>
      <c r="E66" t="s">
        <v>811</v>
      </c>
      <c r="F66" t="s">
        <v>812</v>
      </c>
      <c r="G66" t="s">
        <v>813</v>
      </c>
      <c r="H66" t="s">
        <v>554</v>
      </c>
      <c r="I66" t="s">
        <v>555</v>
      </c>
    </row>
    <row r="67" spans="1:9" ht="11.25" customHeight="1" x14ac:dyDescent="0.3">
      <c r="A67" t="s">
        <v>548</v>
      </c>
      <c r="B67" t="s">
        <v>174</v>
      </c>
      <c r="C67" t="s">
        <v>814</v>
      </c>
      <c r="D67" t="s">
        <v>815</v>
      </c>
      <c r="E67" t="s">
        <v>816</v>
      </c>
      <c r="F67" t="s">
        <v>761</v>
      </c>
      <c r="G67" t="s">
        <v>762</v>
      </c>
      <c r="H67" t="s">
        <v>554</v>
      </c>
      <c r="I67" t="s">
        <v>555</v>
      </c>
    </row>
    <row r="68" spans="1:9" ht="11.25" customHeight="1" x14ac:dyDescent="0.3">
      <c r="A68" t="s">
        <v>548</v>
      </c>
      <c r="B68" t="s">
        <v>174</v>
      </c>
      <c r="C68" t="s">
        <v>817</v>
      </c>
      <c r="D68" t="s">
        <v>818</v>
      </c>
      <c r="E68" t="s">
        <v>819</v>
      </c>
      <c r="F68" t="s">
        <v>820</v>
      </c>
      <c r="G68" t="s">
        <v>821</v>
      </c>
      <c r="H68" t="s">
        <v>554</v>
      </c>
      <c r="I68" t="s">
        <v>555</v>
      </c>
    </row>
    <row r="69" spans="1:9" ht="11.25" customHeight="1" x14ac:dyDescent="0.3">
      <c r="A69" t="s">
        <v>548</v>
      </c>
      <c r="B69" t="s">
        <v>174</v>
      </c>
      <c r="C69" t="s">
        <v>822</v>
      </c>
      <c r="D69" t="s">
        <v>823</v>
      </c>
      <c r="E69" t="s">
        <v>824</v>
      </c>
      <c r="F69" t="s">
        <v>825</v>
      </c>
      <c r="G69" t="s">
        <v>826</v>
      </c>
      <c r="H69" t="s">
        <v>554</v>
      </c>
      <c r="I69" t="s">
        <v>555</v>
      </c>
    </row>
    <row r="70" spans="1:9" ht="11.25" customHeight="1" x14ac:dyDescent="0.3">
      <c r="A70" t="s">
        <v>548</v>
      </c>
      <c r="B70" t="s">
        <v>174</v>
      </c>
      <c r="C70" t="s">
        <v>827</v>
      </c>
      <c r="D70" t="s">
        <v>828</v>
      </c>
      <c r="E70" t="s">
        <v>829</v>
      </c>
      <c r="F70" t="s">
        <v>830</v>
      </c>
      <c r="G70" t="s">
        <v>831</v>
      </c>
      <c r="H70" t="s">
        <v>554</v>
      </c>
      <c r="I70" t="s">
        <v>555</v>
      </c>
    </row>
    <row r="71" spans="1:9" ht="11.25" customHeight="1" x14ac:dyDescent="0.3">
      <c r="A71" t="s">
        <v>548</v>
      </c>
      <c r="B71" t="s">
        <v>174</v>
      </c>
      <c r="C71" t="s">
        <v>832</v>
      </c>
      <c r="D71" t="s">
        <v>833</v>
      </c>
      <c r="E71" t="s">
        <v>834</v>
      </c>
      <c r="F71" t="s">
        <v>835</v>
      </c>
      <c r="G71" t="s">
        <v>836</v>
      </c>
      <c r="H71" t="s">
        <v>554</v>
      </c>
      <c r="I71" t="s">
        <v>555</v>
      </c>
    </row>
    <row r="72" spans="1:9" ht="11.25" customHeight="1" x14ac:dyDescent="0.3">
      <c r="A72" t="s">
        <v>548</v>
      </c>
      <c r="B72" t="s">
        <v>174</v>
      </c>
      <c r="C72" t="s">
        <v>837</v>
      </c>
      <c r="D72" t="s">
        <v>838</v>
      </c>
      <c r="E72" t="s">
        <v>839</v>
      </c>
      <c r="F72" t="s">
        <v>596</v>
      </c>
      <c r="G72" t="s">
        <v>840</v>
      </c>
      <c r="H72" t="s">
        <v>554</v>
      </c>
      <c r="I72" t="s">
        <v>555</v>
      </c>
    </row>
    <row r="73" spans="1:9" ht="11.25" customHeight="1" x14ac:dyDescent="0.3">
      <c r="A73" t="s">
        <v>548</v>
      </c>
      <c r="B73" t="s">
        <v>174</v>
      </c>
      <c r="C73" t="s">
        <v>841</v>
      </c>
      <c r="D73" t="s">
        <v>842</v>
      </c>
      <c r="E73" t="s">
        <v>843</v>
      </c>
      <c r="F73" t="s">
        <v>705</v>
      </c>
      <c r="G73" t="s">
        <v>844</v>
      </c>
      <c r="H73" t="s">
        <v>554</v>
      </c>
      <c r="I73" t="s">
        <v>555</v>
      </c>
    </row>
    <row r="74" spans="1:9" ht="11.25" customHeight="1" x14ac:dyDescent="0.3">
      <c r="A74" t="s">
        <v>548</v>
      </c>
      <c r="B74" t="s">
        <v>174</v>
      </c>
      <c r="C74" t="s">
        <v>845</v>
      </c>
      <c r="D74" t="s">
        <v>846</v>
      </c>
      <c r="E74" t="s">
        <v>847</v>
      </c>
      <c r="F74" t="s">
        <v>848</v>
      </c>
      <c r="G74" t="s">
        <v>849</v>
      </c>
      <c r="H74" t="s">
        <v>554</v>
      </c>
      <c r="I74" t="s">
        <v>555</v>
      </c>
    </row>
    <row r="75" spans="1:9" ht="11.25" customHeight="1" x14ac:dyDescent="0.3">
      <c r="A75" t="s">
        <v>548</v>
      </c>
      <c r="B75" t="s">
        <v>174</v>
      </c>
      <c r="C75" t="s">
        <v>850</v>
      </c>
      <c r="D75" t="s">
        <v>851</v>
      </c>
      <c r="E75" t="s">
        <v>852</v>
      </c>
      <c r="F75" t="s">
        <v>794</v>
      </c>
      <c r="G75" t="s">
        <v>853</v>
      </c>
      <c r="H75" t="s">
        <v>554</v>
      </c>
      <c r="I75" t="s">
        <v>555</v>
      </c>
    </row>
    <row r="76" spans="1:9" ht="11.25" customHeight="1" x14ac:dyDescent="0.3">
      <c r="A76" t="s">
        <v>548</v>
      </c>
      <c r="B76" t="s">
        <v>174</v>
      </c>
      <c r="C76" t="s">
        <v>854</v>
      </c>
      <c r="D76" t="s">
        <v>855</v>
      </c>
      <c r="E76" t="s">
        <v>856</v>
      </c>
      <c r="F76" t="s">
        <v>638</v>
      </c>
      <c r="G76" t="s">
        <v>857</v>
      </c>
      <c r="H76" t="s">
        <v>554</v>
      </c>
      <c r="I76" t="s">
        <v>555</v>
      </c>
    </row>
    <row r="77" spans="1:9" ht="11.25" customHeight="1" x14ac:dyDescent="0.3">
      <c r="A77" t="s">
        <v>548</v>
      </c>
      <c r="B77" t="s">
        <v>174</v>
      </c>
      <c r="C77" t="s">
        <v>858</v>
      </c>
      <c r="D77" t="s">
        <v>859</v>
      </c>
      <c r="E77" t="s">
        <v>860</v>
      </c>
      <c r="F77" t="s">
        <v>761</v>
      </c>
      <c r="G77" t="s">
        <v>861</v>
      </c>
      <c r="H77" t="s">
        <v>554</v>
      </c>
      <c r="I77" t="s">
        <v>555</v>
      </c>
    </row>
    <row r="78" spans="1:9" ht="11.25" customHeight="1" x14ac:dyDescent="0.3">
      <c r="A78" t="s">
        <v>548</v>
      </c>
      <c r="B78" t="s">
        <v>174</v>
      </c>
      <c r="C78" t="s">
        <v>862</v>
      </c>
      <c r="D78" t="s">
        <v>863</v>
      </c>
      <c r="E78" t="s">
        <v>864</v>
      </c>
      <c r="F78" t="s">
        <v>865</v>
      </c>
      <c r="G78" t="s">
        <v>866</v>
      </c>
      <c r="H78" t="s">
        <v>554</v>
      </c>
      <c r="I78" t="s">
        <v>555</v>
      </c>
    </row>
    <row r="79" spans="1:9" ht="11.25" customHeight="1" x14ac:dyDescent="0.3">
      <c r="A79" t="s">
        <v>548</v>
      </c>
      <c r="B79" t="s">
        <v>174</v>
      </c>
      <c r="C79" t="s">
        <v>867</v>
      </c>
      <c r="D79" t="s">
        <v>868</v>
      </c>
      <c r="E79" t="s">
        <v>869</v>
      </c>
      <c r="F79" t="s">
        <v>663</v>
      </c>
      <c r="G79" t="s">
        <v>870</v>
      </c>
      <c r="H79" t="s">
        <v>554</v>
      </c>
      <c r="I79" t="s">
        <v>555</v>
      </c>
    </row>
    <row r="80" spans="1:9" ht="11.25" customHeight="1" x14ac:dyDescent="0.3">
      <c r="A80" t="s">
        <v>548</v>
      </c>
      <c r="B80" t="s">
        <v>174</v>
      </c>
      <c r="C80" t="s">
        <v>871</v>
      </c>
      <c r="D80" t="s">
        <v>868</v>
      </c>
      <c r="E80" t="s">
        <v>872</v>
      </c>
      <c r="F80" t="s">
        <v>873</v>
      </c>
      <c r="G80" t="s">
        <v>874</v>
      </c>
      <c r="H80" t="s">
        <v>554</v>
      </c>
      <c r="I80" t="s">
        <v>555</v>
      </c>
    </row>
    <row r="81" spans="1:9" ht="11.25" customHeight="1" x14ac:dyDescent="0.3">
      <c r="A81" t="s">
        <v>548</v>
      </c>
      <c r="B81" t="s">
        <v>174</v>
      </c>
      <c r="C81" t="s">
        <v>875</v>
      </c>
      <c r="D81" t="s">
        <v>876</v>
      </c>
      <c r="E81" t="s">
        <v>877</v>
      </c>
      <c r="F81" t="s">
        <v>878</v>
      </c>
      <c r="G81" t="s">
        <v>879</v>
      </c>
      <c r="H81" t="s">
        <v>554</v>
      </c>
      <c r="I81" t="s">
        <v>555</v>
      </c>
    </row>
    <row r="82" spans="1:9" ht="11.25" customHeight="1" x14ac:dyDescent="0.3">
      <c r="A82" t="s">
        <v>548</v>
      </c>
      <c r="B82" t="s">
        <v>174</v>
      </c>
      <c r="C82" t="s">
        <v>880</v>
      </c>
      <c r="D82" t="s">
        <v>881</v>
      </c>
      <c r="E82" t="s">
        <v>882</v>
      </c>
      <c r="F82" t="s">
        <v>766</v>
      </c>
      <c r="G82" t="s">
        <v>883</v>
      </c>
      <c r="H82" t="s">
        <v>554</v>
      </c>
      <c r="I82" t="s">
        <v>555</v>
      </c>
    </row>
    <row r="83" spans="1:9" ht="11.25" customHeight="1" x14ac:dyDescent="0.3">
      <c r="A83" t="s">
        <v>548</v>
      </c>
      <c r="B83" t="s">
        <v>174</v>
      </c>
      <c r="C83" t="s">
        <v>884</v>
      </c>
      <c r="D83" t="s">
        <v>885</v>
      </c>
      <c r="E83" t="s">
        <v>886</v>
      </c>
      <c r="F83" t="s">
        <v>878</v>
      </c>
      <c r="G83" t="s">
        <v>887</v>
      </c>
      <c r="H83" t="s">
        <v>554</v>
      </c>
      <c r="I83" t="s">
        <v>555</v>
      </c>
    </row>
    <row r="84" spans="1:9" ht="11.25" customHeight="1" x14ac:dyDescent="0.3">
      <c r="A84" t="s">
        <v>548</v>
      </c>
      <c r="B84" t="s">
        <v>174</v>
      </c>
      <c r="C84" t="s">
        <v>888</v>
      </c>
      <c r="D84" t="s">
        <v>889</v>
      </c>
      <c r="E84" t="s">
        <v>890</v>
      </c>
      <c r="F84" t="s">
        <v>891</v>
      </c>
      <c r="G84" t="s">
        <v>892</v>
      </c>
      <c r="H84" t="s">
        <v>554</v>
      </c>
      <c r="I84" t="s">
        <v>555</v>
      </c>
    </row>
    <row r="85" spans="1:9" ht="11.25" customHeight="1" x14ac:dyDescent="0.3">
      <c r="A85" t="s">
        <v>548</v>
      </c>
      <c r="B85" t="s">
        <v>174</v>
      </c>
      <c r="C85" t="s">
        <v>893</v>
      </c>
      <c r="D85" t="s">
        <v>894</v>
      </c>
      <c r="E85" t="s">
        <v>895</v>
      </c>
      <c r="F85" t="s">
        <v>761</v>
      </c>
      <c r="G85" t="s">
        <v>896</v>
      </c>
      <c r="H85" t="s">
        <v>554</v>
      </c>
      <c r="I85" t="s">
        <v>555</v>
      </c>
    </row>
    <row r="86" spans="1:9" ht="11.25" customHeight="1" x14ac:dyDescent="0.3">
      <c r="A86" t="s">
        <v>548</v>
      </c>
      <c r="B86" t="s">
        <v>174</v>
      </c>
      <c r="C86" t="s">
        <v>897</v>
      </c>
      <c r="D86" t="s">
        <v>898</v>
      </c>
      <c r="E86" t="s">
        <v>899</v>
      </c>
      <c r="F86" t="s">
        <v>638</v>
      </c>
      <c r="G86" t="s">
        <v>554</v>
      </c>
      <c r="H86" t="s">
        <v>554</v>
      </c>
      <c r="I86" t="s">
        <v>555</v>
      </c>
    </row>
    <row r="87" spans="1:9" ht="11.25" customHeight="1" x14ac:dyDescent="0.3">
      <c r="A87" t="s">
        <v>548</v>
      </c>
      <c r="B87" t="s">
        <v>174</v>
      </c>
      <c r="C87" t="s">
        <v>900</v>
      </c>
      <c r="D87" t="s">
        <v>901</v>
      </c>
      <c r="E87" t="s">
        <v>902</v>
      </c>
      <c r="F87" t="s">
        <v>784</v>
      </c>
      <c r="G87" t="s">
        <v>903</v>
      </c>
      <c r="H87" t="s">
        <v>554</v>
      </c>
      <c r="I87" t="s">
        <v>555</v>
      </c>
    </row>
    <row r="88" spans="1:9" ht="11.25" customHeight="1" x14ac:dyDescent="0.3">
      <c r="A88" t="s">
        <v>548</v>
      </c>
      <c r="B88" t="s">
        <v>174</v>
      </c>
      <c r="C88" t="s">
        <v>904</v>
      </c>
      <c r="D88" t="s">
        <v>905</v>
      </c>
      <c r="E88" t="s">
        <v>906</v>
      </c>
      <c r="F88" t="s">
        <v>700</v>
      </c>
      <c r="G88" t="s">
        <v>907</v>
      </c>
      <c r="H88" t="s">
        <v>554</v>
      </c>
      <c r="I88" t="s">
        <v>555</v>
      </c>
    </row>
    <row r="89" spans="1:9" ht="11.25" customHeight="1" x14ac:dyDescent="0.3">
      <c r="A89" t="s">
        <v>548</v>
      </c>
      <c r="B89" t="s">
        <v>174</v>
      </c>
      <c r="C89" t="s">
        <v>908</v>
      </c>
      <c r="D89" t="s">
        <v>909</v>
      </c>
      <c r="E89" t="s">
        <v>910</v>
      </c>
      <c r="F89" t="s">
        <v>865</v>
      </c>
      <c r="G89" t="s">
        <v>911</v>
      </c>
      <c r="H89" t="s">
        <v>554</v>
      </c>
      <c r="I89" t="s">
        <v>555</v>
      </c>
    </row>
    <row r="90" spans="1:9" ht="11.25" customHeight="1" x14ac:dyDescent="0.3">
      <c r="A90" t="s">
        <v>548</v>
      </c>
      <c r="B90" t="s">
        <v>174</v>
      </c>
      <c r="C90" t="s">
        <v>912</v>
      </c>
      <c r="D90" t="s">
        <v>913</v>
      </c>
      <c r="E90" t="s">
        <v>914</v>
      </c>
      <c r="F90" t="s">
        <v>721</v>
      </c>
      <c r="G90" t="s">
        <v>554</v>
      </c>
      <c r="H90" t="s">
        <v>554</v>
      </c>
      <c r="I90" t="s">
        <v>555</v>
      </c>
    </row>
    <row r="91" spans="1:9" ht="11.25" customHeight="1" x14ac:dyDescent="0.3">
      <c r="A91" t="s">
        <v>548</v>
      </c>
      <c r="B91" t="s">
        <v>174</v>
      </c>
      <c r="C91" t="s">
        <v>915</v>
      </c>
      <c r="D91" t="s">
        <v>916</v>
      </c>
      <c r="E91" t="s">
        <v>917</v>
      </c>
      <c r="F91" t="s">
        <v>918</v>
      </c>
      <c r="G91" t="s">
        <v>919</v>
      </c>
      <c r="H91" t="s">
        <v>554</v>
      </c>
      <c r="I91" t="s">
        <v>555</v>
      </c>
    </row>
    <row r="92" spans="1:9" ht="11.25" customHeight="1" x14ac:dyDescent="0.3">
      <c r="A92" t="s">
        <v>548</v>
      </c>
      <c r="B92" t="s">
        <v>174</v>
      </c>
      <c r="C92" t="s">
        <v>920</v>
      </c>
      <c r="D92" t="s">
        <v>921</v>
      </c>
      <c r="E92" t="s">
        <v>922</v>
      </c>
      <c r="F92" t="s">
        <v>825</v>
      </c>
      <c r="G92" t="s">
        <v>923</v>
      </c>
      <c r="H92" t="s">
        <v>554</v>
      </c>
      <c r="I92" t="s">
        <v>555</v>
      </c>
    </row>
    <row r="93" spans="1:9" ht="11.25" customHeight="1" x14ac:dyDescent="0.3">
      <c r="A93" t="s">
        <v>548</v>
      </c>
      <c r="B93" t="s">
        <v>174</v>
      </c>
      <c r="C93" t="s">
        <v>924</v>
      </c>
      <c r="D93" t="s">
        <v>925</v>
      </c>
      <c r="E93" t="s">
        <v>926</v>
      </c>
      <c r="F93" t="s">
        <v>761</v>
      </c>
      <c r="G93" t="s">
        <v>554</v>
      </c>
      <c r="H93" t="s">
        <v>554</v>
      </c>
      <c r="I93" t="s">
        <v>555</v>
      </c>
    </row>
    <row r="94" spans="1:9" ht="11.25" customHeight="1" x14ac:dyDescent="0.3">
      <c r="A94" t="s">
        <v>548</v>
      </c>
      <c r="B94" t="s">
        <v>174</v>
      </c>
      <c r="C94" t="s">
        <v>927</v>
      </c>
      <c r="D94" t="s">
        <v>928</v>
      </c>
      <c r="E94" t="s">
        <v>929</v>
      </c>
      <c r="F94" t="s">
        <v>596</v>
      </c>
      <c r="G94" t="s">
        <v>554</v>
      </c>
      <c r="H94" t="s">
        <v>554</v>
      </c>
      <c r="I94" t="s">
        <v>555</v>
      </c>
    </row>
    <row r="95" spans="1:9" ht="11.25" customHeight="1" x14ac:dyDescent="0.3">
      <c r="A95" t="s">
        <v>548</v>
      </c>
      <c r="B95" t="s">
        <v>174</v>
      </c>
      <c r="C95" t="s">
        <v>930</v>
      </c>
      <c r="D95" t="s">
        <v>931</v>
      </c>
      <c r="E95" t="s">
        <v>932</v>
      </c>
      <c r="F95" t="s">
        <v>588</v>
      </c>
      <c r="G95" t="s">
        <v>554</v>
      </c>
      <c r="H95" t="s">
        <v>554</v>
      </c>
      <c r="I95" t="s">
        <v>555</v>
      </c>
    </row>
    <row r="96" spans="1:9" ht="11.25" customHeight="1" x14ac:dyDescent="0.3">
      <c r="A96" t="s">
        <v>548</v>
      </c>
      <c r="B96" t="s">
        <v>174</v>
      </c>
      <c r="C96" t="s">
        <v>933</v>
      </c>
      <c r="D96" t="s">
        <v>934</v>
      </c>
      <c r="E96" t="s">
        <v>935</v>
      </c>
      <c r="F96" t="s">
        <v>584</v>
      </c>
      <c r="G96" t="s">
        <v>554</v>
      </c>
      <c r="H96" t="s">
        <v>554</v>
      </c>
      <c r="I96" t="s">
        <v>555</v>
      </c>
    </row>
    <row r="97" spans="1:9" ht="11.25" customHeight="1" x14ac:dyDescent="0.3">
      <c r="A97" t="s">
        <v>548</v>
      </c>
      <c r="B97" t="s">
        <v>174</v>
      </c>
      <c r="C97" t="s">
        <v>936</v>
      </c>
      <c r="D97" t="s">
        <v>937</v>
      </c>
      <c r="E97" t="s">
        <v>938</v>
      </c>
      <c r="F97" t="s">
        <v>588</v>
      </c>
      <c r="G97" t="s">
        <v>554</v>
      </c>
      <c r="H97" t="s">
        <v>554</v>
      </c>
      <c r="I97" t="s">
        <v>555</v>
      </c>
    </row>
    <row r="98" spans="1:9" ht="11.25" customHeight="1" x14ac:dyDescent="0.3">
      <c r="A98" t="s">
        <v>548</v>
      </c>
      <c r="B98" t="s">
        <v>174</v>
      </c>
      <c r="C98" t="s">
        <v>939</v>
      </c>
      <c r="D98" t="s">
        <v>940</v>
      </c>
      <c r="E98" t="s">
        <v>941</v>
      </c>
      <c r="F98" t="s">
        <v>596</v>
      </c>
      <c r="G98" t="s">
        <v>942</v>
      </c>
      <c r="H98" t="s">
        <v>554</v>
      </c>
      <c r="I98" t="s">
        <v>555</v>
      </c>
    </row>
    <row r="99" spans="1:9" ht="11.25" customHeight="1" x14ac:dyDescent="0.3">
      <c r="A99" t="s">
        <v>548</v>
      </c>
      <c r="B99" t="s">
        <v>174</v>
      </c>
      <c r="C99" t="s">
        <v>943</v>
      </c>
      <c r="D99" t="s">
        <v>944</v>
      </c>
      <c r="E99" t="s">
        <v>945</v>
      </c>
      <c r="F99" t="s">
        <v>873</v>
      </c>
      <c r="G99" t="s">
        <v>946</v>
      </c>
      <c r="H99" t="s">
        <v>554</v>
      </c>
      <c r="I99" t="s">
        <v>555</v>
      </c>
    </row>
    <row r="100" spans="1:9" ht="11.25" customHeight="1" x14ac:dyDescent="0.3">
      <c r="A100" t="s">
        <v>548</v>
      </c>
      <c r="B100" t="s">
        <v>174</v>
      </c>
      <c r="C100" t="s">
        <v>947</v>
      </c>
      <c r="D100" t="s">
        <v>948</v>
      </c>
      <c r="E100" t="s">
        <v>949</v>
      </c>
      <c r="F100" t="s">
        <v>563</v>
      </c>
      <c r="G100" t="s">
        <v>950</v>
      </c>
      <c r="H100" t="s">
        <v>554</v>
      </c>
      <c r="I100" t="s">
        <v>555</v>
      </c>
    </row>
    <row r="101" spans="1:9" ht="11.25" customHeight="1" x14ac:dyDescent="0.3">
      <c r="A101" t="s">
        <v>548</v>
      </c>
      <c r="B101" t="s">
        <v>174</v>
      </c>
      <c r="C101" t="s">
        <v>951</v>
      </c>
      <c r="D101" t="s">
        <v>948</v>
      </c>
      <c r="E101" t="s">
        <v>952</v>
      </c>
      <c r="F101" t="s">
        <v>651</v>
      </c>
      <c r="G101" t="s">
        <v>953</v>
      </c>
      <c r="H101" t="s">
        <v>554</v>
      </c>
      <c r="I101" t="s">
        <v>555</v>
      </c>
    </row>
    <row r="102" spans="1:9" ht="11.25" customHeight="1" x14ac:dyDescent="0.3">
      <c r="A102" t="s">
        <v>548</v>
      </c>
      <c r="B102" t="s">
        <v>174</v>
      </c>
      <c r="C102" t="s">
        <v>954</v>
      </c>
      <c r="D102" t="s">
        <v>955</v>
      </c>
      <c r="E102" t="s">
        <v>956</v>
      </c>
      <c r="F102" t="s">
        <v>567</v>
      </c>
      <c r="G102" t="s">
        <v>957</v>
      </c>
      <c r="H102" t="s">
        <v>554</v>
      </c>
      <c r="I102" t="s">
        <v>555</v>
      </c>
    </row>
    <row r="103" spans="1:9" ht="11.25" customHeight="1" x14ac:dyDescent="0.3">
      <c r="A103" t="s">
        <v>548</v>
      </c>
      <c r="B103" t="s">
        <v>174</v>
      </c>
      <c r="C103" t="s">
        <v>958</v>
      </c>
      <c r="D103" t="s">
        <v>959</v>
      </c>
      <c r="E103" t="s">
        <v>960</v>
      </c>
      <c r="F103" t="s">
        <v>572</v>
      </c>
      <c r="G103" t="s">
        <v>554</v>
      </c>
      <c r="H103" t="s">
        <v>554</v>
      </c>
      <c r="I103" t="s">
        <v>555</v>
      </c>
    </row>
    <row r="104" spans="1:9" ht="11.25" customHeight="1" x14ac:dyDescent="0.3">
      <c r="A104" t="s">
        <v>548</v>
      </c>
      <c r="B104" t="s">
        <v>174</v>
      </c>
      <c r="C104" t="s">
        <v>961</v>
      </c>
      <c r="D104" t="s">
        <v>962</v>
      </c>
      <c r="E104" t="s">
        <v>963</v>
      </c>
      <c r="F104" t="s">
        <v>825</v>
      </c>
      <c r="G104" t="s">
        <v>964</v>
      </c>
      <c r="H104" t="s">
        <v>554</v>
      </c>
      <c r="I104" t="s">
        <v>555</v>
      </c>
    </row>
    <row r="105" spans="1:9" ht="11.25" customHeight="1" x14ac:dyDescent="0.3">
      <c r="A105" t="s">
        <v>548</v>
      </c>
      <c r="B105" t="s">
        <v>174</v>
      </c>
      <c r="C105" t="s">
        <v>965</v>
      </c>
      <c r="D105" t="s">
        <v>966</v>
      </c>
      <c r="E105" t="s">
        <v>967</v>
      </c>
      <c r="F105" t="s">
        <v>756</v>
      </c>
      <c r="G105" t="s">
        <v>554</v>
      </c>
      <c r="H105" t="s">
        <v>554</v>
      </c>
      <c r="I105" t="s">
        <v>555</v>
      </c>
    </row>
    <row r="106" spans="1:9" ht="11.25" customHeight="1" x14ac:dyDescent="0.3">
      <c r="A106" t="s">
        <v>548</v>
      </c>
      <c r="B106" t="s">
        <v>174</v>
      </c>
      <c r="C106" t="s">
        <v>968</v>
      </c>
      <c r="D106" t="s">
        <v>969</v>
      </c>
      <c r="E106" t="s">
        <v>970</v>
      </c>
      <c r="F106" t="s">
        <v>563</v>
      </c>
      <c r="G106" t="s">
        <v>971</v>
      </c>
      <c r="H106" t="s">
        <v>554</v>
      </c>
      <c r="I106" t="s">
        <v>555</v>
      </c>
    </row>
    <row r="107" spans="1:9" ht="11.25" customHeight="1" x14ac:dyDescent="0.3">
      <c r="A107" t="s">
        <v>548</v>
      </c>
      <c r="B107" t="s">
        <v>174</v>
      </c>
      <c r="C107" t="s">
        <v>972</v>
      </c>
      <c r="D107" t="s">
        <v>973</v>
      </c>
      <c r="E107" t="s">
        <v>974</v>
      </c>
      <c r="F107" t="s">
        <v>584</v>
      </c>
      <c r="G107" t="s">
        <v>975</v>
      </c>
      <c r="H107" t="s">
        <v>554</v>
      </c>
      <c r="I107" t="s">
        <v>555</v>
      </c>
    </row>
    <row r="108" spans="1:9" ht="11.25" customHeight="1" x14ac:dyDescent="0.3">
      <c r="A108" t="s">
        <v>548</v>
      </c>
      <c r="B108" t="s">
        <v>174</v>
      </c>
      <c r="C108" t="s">
        <v>976</v>
      </c>
      <c r="D108" t="s">
        <v>977</v>
      </c>
      <c r="E108" t="s">
        <v>978</v>
      </c>
      <c r="F108" t="s">
        <v>567</v>
      </c>
      <c r="G108" t="s">
        <v>554</v>
      </c>
      <c r="H108" t="s">
        <v>554</v>
      </c>
      <c r="I108" t="s">
        <v>555</v>
      </c>
    </row>
    <row r="109" spans="1:9" ht="11.25" customHeight="1" x14ac:dyDescent="0.3">
      <c r="A109" t="s">
        <v>548</v>
      </c>
      <c r="B109" t="s">
        <v>174</v>
      </c>
      <c r="C109" t="s">
        <v>979</v>
      </c>
      <c r="D109" t="s">
        <v>980</v>
      </c>
      <c r="E109" t="s">
        <v>981</v>
      </c>
      <c r="F109" t="s">
        <v>596</v>
      </c>
      <c r="G109" t="s">
        <v>554</v>
      </c>
      <c r="H109" t="s">
        <v>554</v>
      </c>
      <c r="I109" t="s">
        <v>555</v>
      </c>
    </row>
    <row r="110" spans="1:9" ht="11.25" customHeight="1" x14ac:dyDescent="0.3">
      <c r="A110" t="s">
        <v>548</v>
      </c>
      <c r="B110" t="s">
        <v>174</v>
      </c>
      <c r="C110" t="s">
        <v>982</v>
      </c>
      <c r="D110" t="s">
        <v>983</v>
      </c>
      <c r="E110" t="s">
        <v>984</v>
      </c>
      <c r="F110" t="s">
        <v>985</v>
      </c>
      <c r="G110" t="s">
        <v>554</v>
      </c>
      <c r="H110" t="s">
        <v>554</v>
      </c>
      <c r="I110" t="s">
        <v>555</v>
      </c>
    </row>
    <row r="111" spans="1:9" ht="11.25" customHeight="1" x14ac:dyDescent="0.3">
      <c r="A111" t="s">
        <v>548</v>
      </c>
      <c r="B111" t="s">
        <v>174</v>
      </c>
      <c r="C111" t="s">
        <v>986</v>
      </c>
      <c r="D111" t="s">
        <v>987</v>
      </c>
      <c r="E111" t="s">
        <v>988</v>
      </c>
      <c r="F111" t="s">
        <v>825</v>
      </c>
      <c r="G111" t="s">
        <v>989</v>
      </c>
      <c r="H111" t="s">
        <v>554</v>
      </c>
      <c r="I111" t="s">
        <v>555</v>
      </c>
    </row>
    <row r="112" spans="1:9" ht="11.25" customHeight="1" x14ac:dyDescent="0.3">
      <c r="A112" t="s">
        <v>548</v>
      </c>
      <c r="B112" t="s">
        <v>174</v>
      </c>
      <c r="C112" t="s">
        <v>990</v>
      </c>
      <c r="D112" t="s">
        <v>991</v>
      </c>
      <c r="E112" t="s">
        <v>992</v>
      </c>
      <c r="F112" t="s">
        <v>596</v>
      </c>
      <c r="G112" t="s">
        <v>993</v>
      </c>
      <c r="H112" t="s">
        <v>554</v>
      </c>
      <c r="I112" t="s">
        <v>555</v>
      </c>
    </row>
    <row r="113" spans="1:9" ht="11.25" customHeight="1" x14ac:dyDescent="0.3">
      <c r="A113" t="s">
        <v>548</v>
      </c>
      <c r="B113" t="s">
        <v>174</v>
      </c>
      <c r="C113" t="s">
        <v>994</v>
      </c>
      <c r="D113" t="s">
        <v>995</v>
      </c>
      <c r="E113" t="s">
        <v>996</v>
      </c>
      <c r="F113" t="s">
        <v>572</v>
      </c>
      <c r="G113" t="s">
        <v>554</v>
      </c>
      <c r="H113" t="s">
        <v>554</v>
      </c>
      <c r="I113" t="s">
        <v>555</v>
      </c>
    </row>
    <row r="114" spans="1:9" ht="11.25" customHeight="1" x14ac:dyDescent="0.3">
      <c r="A114" t="s">
        <v>548</v>
      </c>
      <c r="B114" t="s">
        <v>174</v>
      </c>
      <c r="C114" t="s">
        <v>997</v>
      </c>
      <c r="D114" t="s">
        <v>998</v>
      </c>
      <c r="E114" t="s">
        <v>999</v>
      </c>
      <c r="F114" t="s">
        <v>596</v>
      </c>
      <c r="G114" t="s">
        <v>554</v>
      </c>
      <c r="H114" t="s">
        <v>554</v>
      </c>
      <c r="I114" t="s">
        <v>555</v>
      </c>
    </row>
    <row r="115" spans="1:9" ht="11.25" customHeight="1" x14ac:dyDescent="0.3">
      <c r="A115" t="s">
        <v>548</v>
      </c>
      <c r="B115" t="s">
        <v>174</v>
      </c>
      <c r="C115" t="s">
        <v>1000</v>
      </c>
      <c r="D115" t="s">
        <v>1001</v>
      </c>
      <c r="E115" t="s">
        <v>1002</v>
      </c>
      <c r="F115" t="s">
        <v>638</v>
      </c>
      <c r="G115" t="s">
        <v>1003</v>
      </c>
      <c r="H115" t="s">
        <v>554</v>
      </c>
      <c r="I115" t="s">
        <v>555</v>
      </c>
    </row>
    <row r="116" spans="1:9" ht="11.25" customHeight="1" x14ac:dyDescent="0.3">
      <c r="A116" t="s">
        <v>548</v>
      </c>
      <c r="B116" t="s">
        <v>174</v>
      </c>
      <c r="C116" t="s">
        <v>1004</v>
      </c>
      <c r="D116" t="s">
        <v>1005</v>
      </c>
      <c r="E116" t="s">
        <v>1006</v>
      </c>
      <c r="F116" t="s">
        <v>563</v>
      </c>
      <c r="G116" t="s">
        <v>1007</v>
      </c>
      <c r="H116" t="s">
        <v>554</v>
      </c>
      <c r="I116" t="s">
        <v>555</v>
      </c>
    </row>
    <row r="117" spans="1:9" ht="11.25" customHeight="1" x14ac:dyDescent="0.3">
      <c r="A117" t="s">
        <v>548</v>
      </c>
      <c r="B117" t="s">
        <v>174</v>
      </c>
      <c r="C117" t="s">
        <v>1008</v>
      </c>
      <c r="D117" t="s">
        <v>1009</v>
      </c>
      <c r="E117" t="s">
        <v>1010</v>
      </c>
      <c r="F117" t="s">
        <v>572</v>
      </c>
      <c r="G117" t="s">
        <v>554</v>
      </c>
      <c r="H117" t="s">
        <v>554</v>
      </c>
      <c r="I117" t="s">
        <v>555</v>
      </c>
    </row>
    <row r="118" spans="1:9" ht="11.25" customHeight="1" x14ac:dyDescent="0.3">
      <c r="A118" t="s">
        <v>548</v>
      </c>
      <c r="B118" t="s">
        <v>174</v>
      </c>
      <c r="C118" t="s">
        <v>1011</v>
      </c>
      <c r="D118" t="s">
        <v>1012</v>
      </c>
      <c r="E118" t="s">
        <v>1013</v>
      </c>
      <c r="F118" t="s">
        <v>1014</v>
      </c>
      <c r="G118" t="s">
        <v>1015</v>
      </c>
      <c r="H118" t="s">
        <v>554</v>
      </c>
      <c r="I118" t="s">
        <v>555</v>
      </c>
    </row>
    <row r="119" spans="1:9" ht="11.25" customHeight="1" x14ac:dyDescent="0.3">
      <c r="A119" t="s">
        <v>548</v>
      </c>
      <c r="B119" t="s">
        <v>174</v>
      </c>
      <c r="C119" t="s">
        <v>1016</v>
      </c>
      <c r="D119" t="s">
        <v>1017</v>
      </c>
      <c r="E119" t="s">
        <v>1018</v>
      </c>
      <c r="F119" t="s">
        <v>584</v>
      </c>
      <c r="G119" t="s">
        <v>1019</v>
      </c>
      <c r="H119" t="s">
        <v>554</v>
      </c>
      <c r="I119" t="s">
        <v>555</v>
      </c>
    </row>
    <row r="120" spans="1:9" ht="11.25" customHeight="1" x14ac:dyDescent="0.3">
      <c r="A120" t="s">
        <v>548</v>
      </c>
      <c r="B120" t="s">
        <v>174</v>
      </c>
      <c r="C120" t="s">
        <v>1020</v>
      </c>
      <c r="D120" t="s">
        <v>1021</v>
      </c>
      <c r="E120" t="s">
        <v>1022</v>
      </c>
      <c r="F120" t="s">
        <v>596</v>
      </c>
      <c r="G120" t="s">
        <v>1023</v>
      </c>
      <c r="H120" t="s">
        <v>554</v>
      </c>
      <c r="I120" t="s">
        <v>555</v>
      </c>
    </row>
    <row r="121" spans="1:9" ht="11.25" customHeight="1" x14ac:dyDescent="0.3">
      <c r="A121" t="s">
        <v>548</v>
      </c>
      <c r="B121" t="s">
        <v>174</v>
      </c>
      <c r="C121" t="s">
        <v>1024</v>
      </c>
      <c r="D121" t="s">
        <v>1025</v>
      </c>
      <c r="E121" t="s">
        <v>1026</v>
      </c>
      <c r="F121" t="s">
        <v>572</v>
      </c>
      <c r="G121" t="s">
        <v>554</v>
      </c>
      <c r="H121" t="s">
        <v>554</v>
      </c>
      <c r="I121" t="s">
        <v>555</v>
      </c>
    </row>
    <row r="122" spans="1:9" ht="11.25" customHeight="1" x14ac:dyDescent="0.3">
      <c r="A122" t="s">
        <v>548</v>
      </c>
      <c r="B122" t="s">
        <v>174</v>
      </c>
      <c r="C122" t="s">
        <v>1027</v>
      </c>
      <c r="D122" t="s">
        <v>1028</v>
      </c>
      <c r="E122" t="s">
        <v>1029</v>
      </c>
      <c r="F122" t="s">
        <v>572</v>
      </c>
      <c r="G122" t="s">
        <v>554</v>
      </c>
      <c r="H122" t="s">
        <v>554</v>
      </c>
      <c r="I122" t="s">
        <v>555</v>
      </c>
    </row>
    <row r="123" spans="1:9" ht="11.25" customHeight="1" x14ac:dyDescent="0.3">
      <c r="A123" t="s">
        <v>548</v>
      </c>
      <c r="B123" t="s">
        <v>174</v>
      </c>
      <c r="C123" t="s">
        <v>1030</v>
      </c>
      <c r="D123" t="s">
        <v>1031</v>
      </c>
      <c r="E123" t="s">
        <v>1032</v>
      </c>
      <c r="F123" t="s">
        <v>651</v>
      </c>
      <c r="G123" t="s">
        <v>1033</v>
      </c>
      <c r="H123" t="s">
        <v>554</v>
      </c>
      <c r="I123" t="s">
        <v>555</v>
      </c>
    </row>
    <row r="124" spans="1:9" ht="11.25" customHeight="1" x14ac:dyDescent="0.3">
      <c r="A124" t="s">
        <v>548</v>
      </c>
      <c r="B124" t="s">
        <v>174</v>
      </c>
      <c r="C124" t="s">
        <v>1034</v>
      </c>
      <c r="D124" t="s">
        <v>1035</v>
      </c>
      <c r="E124" t="s">
        <v>1036</v>
      </c>
      <c r="F124" t="s">
        <v>1037</v>
      </c>
      <c r="G124" t="s">
        <v>1038</v>
      </c>
      <c r="H124" t="s">
        <v>554</v>
      </c>
      <c r="I124" t="s">
        <v>555</v>
      </c>
    </row>
    <row r="125" spans="1:9" ht="11.25" customHeight="1" x14ac:dyDescent="0.3">
      <c r="A125" t="s">
        <v>548</v>
      </c>
      <c r="B125" t="s">
        <v>174</v>
      </c>
      <c r="C125" t="s">
        <v>1039</v>
      </c>
      <c r="D125" t="s">
        <v>1040</v>
      </c>
      <c r="E125" t="s">
        <v>1041</v>
      </c>
      <c r="F125" t="s">
        <v>563</v>
      </c>
      <c r="G125" t="s">
        <v>1042</v>
      </c>
      <c r="H125" t="s">
        <v>554</v>
      </c>
      <c r="I125" t="s">
        <v>555</v>
      </c>
    </row>
    <row r="126" spans="1:9" ht="11.25" customHeight="1" x14ac:dyDescent="0.3">
      <c r="A126" t="s">
        <v>548</v>
      </c>
      <c r="B126" t="s">
        <v>174</v>
      </c>
      <c r="C126" t="s">
        <v>1043</v>
      </c>
      <c r="D126" t="s">
        <v>1044</v>
      </c>
      <c r="E126" t="s">
        <v>1045</v>
      </c>
      <c r="F126" t="s">
        <v>651</v>
      </c>
      <c r="G126" t="s">
        <v>554</v>
      </c>
      <c r="H126" t="s">
        <v>554</v>
      </c>
      <c r="I126" t="s">
        <v>555</v>
      </c>
    </row>
    <row r="127" spans="1:9" ht="11.25" customHeight="1" x14ac:dyDescent="0.3">
      <c r="A127" t="s">
        <v>548</v>
      </c>
      <c r="B127" t="s">
        <v>174</v>
      </c>
      <c r="C127" t="s">
        <v>1046</v>
      </c>
      <c r="D127" t="s">
        <v>1047</v>
      </c>
      <c r="E127" t="s">
        <v>1048</v>
      </c>
      <c r="F127" t="s">
        <v>761</v>
      </c>
      <c r="G127" t="s">
        <v>1049</v>
      </c>
      <c r="H127" t="s">
        <v>554</v>
      </c>
      <c r="I127" t="s">
        <v>555</v>
      </c>
    </row>
    <row r="128" spans="1:9" ht="11.25" customHeight="1" x14ac:dyDescent="0.3">
      <c r="A128" t="s">
        <v>548</v>
      </c>
      <c r="B128" t="s">
        <v>174</v>
      </c>
      <c r="C128" t="s">
        <v>1050</v>
      </c>
      <c r="D128" t="s">
        <v>1051</v>
      </c>
      <c r="E128" t="s">
        <v>1052</v>
      </c>
      <c r="F128" t="s">
        <v>766</v>
      </c>
      <c r="G128" t="s">
        <v>1053</v>
      </c>
      <c r="H128" t="s">
        <v>554</v>
      </c>
      <c r="I128" t="s">
        <v>555</v>
      </c>
    </row>
    <row r="129" spans="1:9" ht="11.25" customHeight="1" x14ac:dyDescent="0.3">
      <c r="A129" t="s">
        <v>548</v>
      </c>
      <c r="B129" t="s">
        <v>174</v>
      </c>
      <c r="C129" t="s">
        <v>1054</v>
      </c>
      <c r="D129" t="s">
        <v>1055</v>
      </c>
      <c r="E129" t="s">
        <v>1056</v>
      </c>
      <c r="F129" t="s">
        <v>878</v>
      </c>
      <c r="G129" t="s">
        <v>1057</v>
      </c>
      <c r="H129" t="s">
        <v>554</v>
      </c>
      <c r="I129" t="s">
        <v>555</v>
      </c>
    </row>
    <row r="130" spans="1:9" ht="11.25" customHeight="1" x14ac:dyDescent="0.3">
      <c r="A130" t="s">
        <v>548</v>
      </c>
      <c r="B130" t="s">
        <v>174</v>
      </c>
      <c r="C130" t="s">
        <v>1058</v>
      </c>
      <c r="D130" t="s">
        <v>1059</v>
      </c>
      <c r="E130" t="s">
        <v>1060</v>
      </c>
      <c r="F130" t="s">
        <v>1061</v>
      </c>
      <c r="G130" t="s">
        <v>554</v>
      </c>
      <c r="H130" t="s">
        <v>554</v>
      </c>
      <c r="I130" t="s">
        <v>555</v>
      </c>
    </row>
    <row r="131" spans="1:9" ht="11.25" customHeight="1" x14ac:dyDescent="0.3">
      <c r="A131" t="s">
        <v>548</v>
      </c>
      <c r="B131" t="s">
        <v>174</v>
      </c>
      <c r="C131" t="s">
        <v>1062</v>
      </c>
      <c r="D131" t="s">
        <v>1063</v>
      </c>
      <c r="E131" t="s">
        <v>1064</v>
      </c>
      <c r="F131" t="s">
        <v>572</v>
      </c>
      <c r="G131" t="s">
        <v>554</v>
      </c>
      <c r="H131" t="s">
        <v>554</v>
      </c>
      <c r="I131" t="s">
        <v>555</v>
      </c>
    </row>
    <row r="132" spans="1:9" ht="11.25" customHeight="1" x14ac:dyDescent="0.3">
      <c r="A132" t="s">
        <v>548</v>
      </c>
      <c r="B132" t="s">
        <v>174</v>
      </c>
      <c r="C132" t="s">
        <v>1065</v>
      </c>
      <c r="D132" t="s">
        <v>1066</v>
      </c>
      <c r="E132" t="s">
        <v>1067</v>
      </c>
      <c r="F132" t="s">
        <v>820</v>
      </c>
      <c r="G132" t="s">
        <v>1068</v>
      </c>
      <c r="H132" t="s">
        <v>554</v>
      </c>
      <c r="I132" t="s">
        <v>555</v>
      </c>
    </row>
    <row r="133" spans="1:9" ht="11.25" customHeight="1" x14ac:dyDescent="0.3">
      <c r="A133" t="s">
        <v>548</v>
      </c>
      <c r="B133" t="s">
        <v>174</v>
      </c>
      <c r="C133" t="s">
        <v>1069</v>
      </c>
      <c r="D133" t="s">
        <v>1070</v>
      </c>
      <c r="E133" t="s">
        <v>1071</v>
      </c>
      <c r="F133" t="s">
        <v>563</v>
      </c>
      <c r="G133" t="s">
        <v>554</v>
      </c>
      <c r="H133" t="s">
        <v>554</v>
      </c>
      <c r="I133" t="s">
        <v>555</v>
      </c>
    </row>
    <row r="134" spans="1:9" ht="11.25" customHeight="1" x14ac:dyDescent="0.3">
      <c r="A134" t="s">
        <v>548</v>
      </c>
      <c r="B134" t="s">
        <v>174</v>
      </c>
      <c r="C134" t="s">
        <v>1072</v>
      </c>
      <c r="D134" t="s">
        <v>1073</v>
      </c>
      <c r="E134" t="s">
        <v>1074</v>
      </c>
      <c r="F134" t="s">
        <v>584</v>
      </c>
      <c r="G134" t="s">
        <v>1075</v>
      </c>
      <c r="H134" t="s">
        <v>554</v>
      </c>
      <c r="I134" t="s">
        <v>555</v>
      </c>
    </row>
    <row r="135" spans="1:9" ht="11.25" customHeight="1" x14ac:dyDescent="0.3">
      <c r="A135" t="s">
        <v>548</v>
      </c>
      <c r="B135" t="s">
        <v>174</v>
      </c>
      <c r="C135" t="s">
        <v>1076</v>
      </c>
      <c r="D135" t="s">
        <v>1073</v>
      </c>
      <c r="E135" t="s">
        <v>1077</v>
      </c>
      <c r="F135" t="s">
        <v>878</v>
      </c>
      <c r="G135" t="s">
        <v>554</v>
      </c>
      <c r="H135" t="s">
        <v>554</v>
      </c>
      <c r="I135" t="s">
        <v>555</v>
      </c>
    </row>
    <row r="136" spans="1:9" ht="11.25" customHeight="1" x14ac:dyDescent="0.3">
      <c r="A136" t="s">
        <v>548</v>
      </c>
      <c r="B136" t="s">
        <v>174</v>
      </c>
      <c r="C136" t="s">
        <v>1078</v>
      </c>
      <c r="D136" t="s">
        <v>1079</v>
      </c>
      <c r="E136" t="s">
        <v>1080</v>
      </c>
      <c r="F136" t="s">
        <v>1081</v>
      </c>
      <c r="G136" t="s">
        <v>1082</v>
      </c>
      <c r="H136" t="s">
        <v>554</v>
      </c>
      <c r="I136" t="s">
        <v>555</v>
      </c>
    </row>
    <row r="137" spans="1:9" ht="11.25" customHeight="1" x14ac:dyDescent="0.3">
      <c r="A137" t="s">
        <v>548</v>
      </c>
      <c r="B137" t="s">
        <v>174</v>
      </c>
      <c r="C137" t="s">
        <v>1083</v>
      </c>
      <c r="D137" t="s">
        <v>1084</v>
      </c>
      <c r="E137" t="s">
        <v>1085</v>
      </c>
      <c r="F137" t="s">
        <v>878</v>
      </c>
      <c r="G137" t="s">
        <v>1086</v>
      </c>
      <c r="H137" t="s">
        <v>554</v>
      </c>
      <c r="I137" t="s">
        <v>555</v>
      </c>
    </row>
    <row r="138" spans="1:9" ht="11.25" customHeight="1" x14ac:dyDescent="0.3">
      <c r="A138" t="s">
        <v>548</v>
      </c>
      <c r="B138" t="s">
        <v>174</v>
      </c>
      <c r="C138" t="s">
        <v>1087</v>
      </c>
      <c r="D138" t="s">
        <v>1088</v>
      </c>
      <c r="E138" t="s">
        <v>1089</v>
      </c>
      <c r="F138" t="s">
        <v>572</v>
      </c>
      <c r="G138" t="s">
        <v>1090</v>
      </c>
      <c r="H138" t="s">
        <v>554</v>
      </c>
      <c r="I138" t="s">
        <v>555</v>
      </c>
    </row>
    <row r="139" spans="1:9" ht="11.25" customHeight="1" x14ac:dyDescent="0.3">
      <c r="A139" t="s">
        <v>548</v>
      </c>
      <c r="B139" t="s">
        <v>174</v>
      </c>
      <c r="C139" t="s">
        <v>1091</v>
      </c>
      <c r="D139" t="s">
        <v>1092</v>
      </c>
      <c r="E139" t="s">
        <v>1093</v>
      </c>
      <c r="F139" t="s">
        <v>584</v>
      </c>
      <c r="G139" t="s">
        <v>1094</v>
      </c>
      <c r="H139" t="s">
        <v>554</v>
      </c>
      <c r="I139" t="s">
        <v>555</v>
      </c>
    </row>
    <row r="140" spans="1:9" ht="11.25" customHeight="1" x14ac:dyDescent="0.3">
      <c r="A140" t="s">
        <v>548</v>
      </c>
      <c r="B140" t="s">
        <v>174</v>
      </c>
      <c r="C140" t="s">
        <v>1095</v>
      </c>
      <c r="D140" t="s">
        <v>1096</v>
      </c>
      <c r="E140" t="s">
        <v>1097</v>
      </c>
      <c r="F140" t="s">
        <v>1098</v>
      </c>
      <c r="G140" t="s">
        <v>1099</v>
      </c>
      <c r="H140" t="s">
        <v>554</v>
      </c>
      <c r="I140" t="s">
        <v>555</v>
      </c>
    </row>
    <row r="141" spans="1:9" ht="11.25" customHeight="1" x14ac:dyDescent="0.3">
      <c r="A141" t="s">
        <v>548</v>
      </c>
      <c r="B141" t="s">
        <v>174</v>
      </c>
      <c r="C141" t="s">
        <v>1100</v>
      </c>
      <c r="D141" t="s">
        <v>1101</v>
      </c>
      <c r="E141" t="s">
        <v>1102</v>
      </c>
      <c r="F141" t="s">
        <v>563</v>
      </c>
      <c r="G141" t="s">
        <v>1103</v>
      </c>
      <c r="H141" t="s">
        <v>554</v>
      </c>
      <c r="I141" t="s">
        <v>555</v>
      </c>
    </row>
    <row r="142" spans="1:9" ht="11.25" customHeight="1" x14ac:dyDescent="0.3">
      <c r="A142" t="s">
        <v>548</v>
      </c>
      <c r="B142" t="s">
        <v>174</v>
      </c>
      <c r="C142" t="s">
        <v>1104</v>
      </c>
      <c r="D142" t="s">
        <v>1105</v>
      </c>
      <c r="E142" t="s">
        <v>1106</v>
      </c>
      <c r="F142" t="s">
        <v>563</v>
      </c>
      <c r="G142" t="s">
        <v>554</v>
      </c>
      <c r="H142" t="s">
        <v>554</v>
      </c>
      <c r="I142" t="s">
        <v>555</v>
      </c>
    </row>
    <row r="143" spans="1:9" ht="11.25" customHeight="1" x14ac:dyDescent="0.3">
      <c r="A143" t="s">
        <v>548</v>
      </c>
      <c r="B143" t="s">
        <v>174</v>
      </c>
      <c r="C143" t="s">
        <v>1107</v>
      </c>
      <c r="D143" t="s">
        <v>1108</v>
      </c>
      <c r="E143" t="s">
        <v>1109</v>
      </c>
      <c r="F143" t="s">
        <v>651</v>
      </c>
      <c r="G143" t="s">
        <v>554</v>
      </c>
      <c r="H143" t="s">
        <v>554</v>
      </c>
      <c r="I143" t="s">
        <v>555</v>
      </c>
    </row>
    <row r="144" spans="1:9" ht="11.25" customHeight="1" x14ac:dyDescent="0.3">
      <c r="A144" t="s">
        <v>548</v>
      </c>
      <c r="B144" t="s">
        <v>174</v>
      </c>
      <c r="C144" t="s">
        <v>1110</v>
      </c>
      <c r="D144" t="s">
        <v>1111</v>
      </c>
      <c r="E144" t="s">
        <v>1112</v>
      </c>
      <c r="F144" t="s">
        <v>576</v>
      </c>
      <c r="G144" t="s">
        <v>1113</v>
      </c>
      <c r="H144" t="s">
        <v>554</v>
      </c>
      <c r="I144" t="s">
        <v>555</v>
      </c>
    </row>
    <row r="145" spans="1:9" ht="11.25" customHeight="1" x14ac:dyDescent="0.3">
      <c r="A145" t="s">
        <v>548</v>
      </c>
      <c r="B145" t="s">
        <v>174</v>
      </c>
      <c r="C145" t="s">
        <v>1114</v>
      </c>
      <c r="D145" t="s">
        <v>1115</v>
      </c>
      <c r="E145" t="s">
        <v>1116</v>
      </c>
      <c r="F145" t="s">
        <v>918</v>
      </c>
      <c r="G145" t="s">
        <v>1117</v>
      </c>
      <c r="H145" t="s">
        <v>554</v>
      </c>
      <c r="I145" t="s">
        <v>555</v>
      </c>
    </row>
    <row r="146" spans="1:9" ht="11.25" customHeight="1" x14ac:dyDescent="0.3">
      <c r="A146" t="s">
        <v>548</v>
      </c>
      <c r="B146" t="s">
        <v>174</v>
      </c>
      <c r="C146" t="s">
        <v>1118</v>
      </c>
      <c r="D146" t="s">
        <v>1119</v>
      </c>
      <c r="E146" t="s">
        <v>1120</v>
      </c>
      <c r="F146" t="s">
        <v>918</v>
      </c>
      <c r="G146" t="s">
        <v>554</v>
      </c>
      <c r="H146" t="s">
        <v>554</v>
      </c>
      <c r="I146" t="s">
        <v>555</v>
      </c>
    </row>
    <row r="147" spans="1:9" ht="11.25" customHeight="1" x14ac:dyDescent="0.3">
      <c r="A147" t="s">
        <v>548</v>
      </c>
      <c r="B147" t="s">
        <v>174</v>
      </c>
      <c r="C147" t="s">
        <v>1121</v>
      </c>
      <c r="D147" t="s">
        <v>1122</v>
      </c>
      <c r="E147" t="s">
        <v>1123</v>
      </c>
      <c r="F147" t="s">
        <v>584</v>
      </c>
      <c r="G147" t="s">
        <v>1124</v>
      </c>
      <c r="H147" t="s">
        <v>554</v>
      </c>
      <c r="I147" t="s">
        <v>555</v>
      </c>
    </row>
    <row r="148" spans="1:9" ht="11.25" customHeight="1" x14ac:dyDescent="0.3">
      <c r="A148" t="s">
        <v>548</v>
      </c>
      <c r="B148" t="s">
        <v>174</v>
      </c>
      <c r="C148" t="s">
        <v>1125</v>
      </c>
      <c r="D148" t="s">
        <v>1122</v>
      </c>
      <c r="E148" t="s">
        <v>1126</v>
      </c>
      <c r="F148" t="s">
        <v>567</v>
      </c>
      <c r="G148" t="s">
        <v>879</v>
      </c>
      <c r="H148" t="s">
        <v>554</v>
      </c>
      <c r="I148" t="s">
        <v>555</v>
      </c>
    </row>
    <row r="149" spans="1:9" ht="11.25" customHeight="1" x14ac:dyDescent="0.3">
      <c r="A149" t="s">
        <v>548</v>
      </c>
      <c r="B149" t="s">
        <v>174</v>
      </c>
      <c r="C149" t="s">
        <v>1127</v>
      </c>
      <c r="D149" t="s">
        <v>1122</v>
      </c>
      <c r="E149" t="s">
        <v>1128</v>
      </c>
      <c r="F149" t="s">
        <v>572</v>
      </c>
      <c r="G149" t="s">
        <v>1090</v>
      </c>
      <c r="H149" t="s">
        <v>554</v>
      </c>
      <c r="I149" t="s">
        <v>555</v>
      </c>
    </row>
    <row r="150" spans="1:9" ht="11.25" customHeight="1" x14ac:dyDescent="0.3">
      <c r="A150" t="s">
        <v>548</v>
      </c>
      <c r="B150" t="s">
        <v>174</v>
      </c>
      <c r="C150" t="s">
        <v>1129</v>
      </c>
      <c r="D150" t="s">
        <v>1122</v>
      </c>
      <c r="E150" t="s">
        <v>1130</v>
      </c>
      <c r="F150" t="s">
        <v>1037</v>
      </c>
      <c r="G150" t="s">
        <v>1131</v>
      </c>
      <c r="H150" t="s">
        <v>554</v>
      </c>
      <c r="I150" t="s">
        <v>555</v>
      </c>
    </row>
    <row r="151" spans="1:9" ht="11.25" customHeight="1" x14ac:dyDescent="0.3">
      <c r="A151" t="s">
        <v>548</v>
      </c>
      <c r="B151" t="s">
        <v>174</v>
      </c>
      <c r="C151" t="s">
        <v>1132</v>
      </c>
      <c r="D151" t="s">
        <v>1122</v>
      </c>
      <c r="E151" t="s">
        <v>1133</v>
      </c>
      <c r="F151" t="s">
        <v>830</v>
      </c>
      <c r="G151" t="s">
        <v>1134</v>
      </c>
      <c r="H151" t="s">
        <v>554</v>
      </c>
      <c r="I151" t="s">
        <v>555</v>
      </c>
    </row>
    <row r="152" spans="1:9" ht="11.25" customHeight="1" x14ac:dyDescent="0.3">
      <c r="A152" t="s">
        <v>548</v>
      </c>
      <c r="B152" t="s">
        <v>174</v>
      </c>
      <c r="C152" t="s">
        <v>1135</v>
      </c>
      <c r="D152" t="s">
        <v>1122</v>
      </c>
      <c r="E152" t="s">
        <v>1136</v>
      </c>
      <c r="F152" t="s">
        <v>985</v>
      </c>
      <c r="G152" t="s">
        <v>554</v>
      </c>
      <c r="H152" t="s">
        <v>554</v>
      </c>
      <c r="I152" t="s">
        <v>555</v>
      </c>
    </row>
    <row r="153" spans="1:9" ht="11.25" customHeight="1" x14ac:dyDescent="0.3">
      <c r="A153" t="s">
        <v>548</v>
      </c>
      <c r="B153" t="s">
        <v>174</v>
      </c>
      <c r="C153" t="s">
        <v>1137</v>
      </c>
      <c r="D153" t="s">
        <v>1138</v>
      </c>
      <c r="E153" t="s">
        <v>1139</v>
      </c>
      <c r="F153" t="s">
        <v>1081</v>
      </c>
      <c r="G153" t="s">
        <v>1140</v>
      </c>
      <c r="H153" t="s">
        <v>554</v>
      </c>
      <c r="I153" t="s">
        <v>555</v>
      </c>
    </row>
    <row r="154" spans="1:9" ht="11.25" customHeight="1" x14ac:dyDescent="0.3">
      <c r="A154" t="s">
        <v>548</v>
      </c>
      <c r="B154" t="s">
        <v>174</v>
      </c>
      <c r="C154" t="s">
        <v>1141</v>
      </c>
      <c r="D154" t="s">
        <v>1142</v>
      </c>
      <c r="E154" t="s">
        <v>1143</v>
      </c>
      <c r="F154" t="s">
        <v>700</v>
      </c>
      <c r="G154" t="s">
        <v>554</v>
      </c>
      <c r="H154" t="s">
        <v>554</v>
      </c>
      <c r="I154" t="s">
        <v>555</v>
      </c>
    </row>
    <row r="155" spans="1:9" ht="11.25" customHeight="1" x14ac:dyDescent="0.3">
      <c r="A155" t="s">
        <v>548</v>
      </c>
      <c r="B155" t="s">
        <v>174</v>
      </c>
      <c r="C155" t="s">
        <v>1144</v>
      </c>
      <c r="D155" t="s">
        <v>1145</v>
      </c>
      <c r="E155" t="s">
        <v>1146</v>
      </c>
      <c r="F155" t="s">
        <v>794</v>
      </c>
      <c r="G155" t="s">
        <v>1147</v>
      </c>
      <c r="H155" t="s">
        <v>554</v>
      </c>
      <c r="I155" t="s">
        <v>555</v>
      </c>
    </row>
    <row r="156" spans="1:9" ht="11.25" customHeight="1" x14ac:dyDescent="0.3">
      <c r="A156" t="s">
        <v>548</v>
      </c>
      <c r="B156" t="s">
        <v>174</v>
      </c>
      <c r="C156" t="s">
        <v>1148</v>
      </c>
      <c r="D156" t="s">
        <v>1149</v>
      </c>
      <c r="E156" t="s">
        <v>1150</v>
      </c>
      <c r="F156" t="s">
        <v>584</v>
      </c>
      <c r="G156" t="s">
        <v>554</v>
      </c>
      <c r="H156" t="s">
        <v>554</v>
      </c>
      <c r="I156" t="s">
        <v>555</v>
      </c>
    </row>
    <row r="157" spans="1:9" ht="11.25" customHeight="1" x14ac:dyDescent="0.3">
      <c r="A157" t="s">
        <v>548</v>
      </c>
      <c r="B157" t="s">
        <v>174</v>
      </c>
      <c r="C157" t="s">
        <v>1151</v>
      </c>
      <c r="D157" t="s">
        <v>1152</v>
      </c>
      <c r="E157" t="s">
        <v>1153</v>
      </c>
      <c r="F157" t="s">
        <v>651</v>
      </c>
      <c r="G157" t="s">
        <v>1154</v>
      </c>
      <c r="H157" t="s">
        <v>554</v>
      </c>
      <c r="I157" t="s">
        <v>555</v>
      </c>
    </row>
    <row r="158" spans="1:9" ht="11.25" customHeight="1" x14ac:dyDescent="0.3">
      <c r="A158" t="s">
        <v>548</v>
      </c>
      <c r="B158" t="s">
        <v>174</v>
      </c>
      <c r="C158" t="s">
        <v>1155</v>
      </c>
      <c r="D158" t="s">
        <v>1156</v>
      </c>
      <c r="E158" t="s">
        <v>1157</v>
      </c>
      <c r="F158" t="s">
        <v>567</v>
      </c>
      <c r="G158" t="s">
        <v>1158</v>
      </c>
      <c r="H158" t="s">
        <v>554</v>
      </c>
      <c r="I158" t="s">
        <v>555</v>
      </c>
    </row>
    <row r="159" spans="1:9" ht="11.25" customHeight="1" x14ac:dyDescent="0.3">
      <c r="A159" t="s">
        <v>548</v>
      </c>
      <c r="B159" t="s">
        <v>174</v>
      </c>
      <c r="C159" t="s">
        <v>1159</v>
      </c>
      <c r="D159" t="s">
        <v>1160</v>
      </c>
      <c r="E159" t="s">
        <v>1161</v>
      </c>
      <c r="F159" t="s">
        <v>878</v>
      </c>
      <c r="G159" t="s">
        <v>1162</v>
      </c>
      <c r="H159" t="s">
        <v>554</v>
      </c>
      <c r="I159" t="s">
        <v>555</v>
      </c>
    </row>
    <row r="160" spans="1:9" ht="11.25" customHeight="1" x14ac:dyDescent="0.3">
      <c r="A160" t="s">
        <v>548</v>
      </c>
      <c r="B160" t="s">
        <v>174</v>
      </c>
      <c r="C160" t="s">
        <v>1163</v>
      </c>
      <c r="D160" t="s">
        <v>1164</v>
      </c>
      <c r="E160" t="s">
        <v>1165</v>
      </c>
      <c r="F160" t="s">
        <v>1166</v>
      </c>
      <c r="G160" t="s">
        <v>1167</v>
      </c>
      <c r="H160" t="s">
        <v>554</v>
      </c>
      <c r="I160" t="s">
        <v>555</v>
      </c>
    </row>
    <row r="161" spans="1:9" ht="11.25" customHeight="1" x14ac:dyDescent="0.3">
      <c r="A161" t="s">
        <v>548</v>
      </c>
      <c r="B161" t="s">
        <v>174</v>
      </c>
      <c r="C161" t="s">
        <v>1168</v>
      </c>
      <c r="D161" t="s">
        <v>1169</v>
      </c>
      <c r="E161" t="s">
        <v>1170</v>
      </c>
      <c r="F161" t="s">
        <v>1014</v>
      </c>
      <c r="G161" t="s">
        <v>1171</v>
      </c>
      <c r="H161" t="s">
        <v>554</v>
      </c>
      <c r="I161" t="s">
        <v>555</v>
      </c>
    </row>
    <row r="162" spans="1:9" ht="11.25" customHeight="1" x14ac:dyDescent="0.3">
      <c r="A162" t="s">
        <v>548</v>
      </c>
      <c r="B162" t="s">
        <v>174</v>
      </c>
      <c r="C162" t="s">
        <v>1172</v>
      </c>
      <c r="D162" t="s">
        <v>1173</v>
      </c>
      <c r="E162" t="s">
        <v>1174</v>
      </c>
      <c r="F162" t="s">
        <v>584</v>
      </c>
      <c r="G162" t="s">
        <v>1175</v>
      </c>
      <c r="H162" t="s">
        <v>554</v>
      </c>
      <c r="I162" t="s">
        <v>555</v>
      </c>
    </row>
    <row r="163" spans="1:9" ht="11.25" customHeight="1" x14ac:dyDescent="0.3">
      <c r="A163" t="s">
        <v>548</v>
      </c>
      <c r="B163" t="s">
        <v>174</v>
      </c>
      <c r="C163" t="s">
        <v>1176</v>
      </c>
      <c r="D163" t="s">
        <v>1177</v>
      </c>
      <c r="E163" t="s">
        <v>1178</v>
      </c>
      <c r="F163" t="s">
        <v>638</v>
      </c>
      <c r="G163" t="s">
        <v>1179</v>
      </c>
      <c r="H163" t="s">
        <v>554</v>
      </c>
      <c r="I163" t="s">
        <v>555</v>
      </c>
    </row>
    <row r="164" spans="1:9" ht="11.25" customHeight="1" x14ac:dyDescent="0.3">
      <c r="A164" t="s">
        <v>548</v>
      </c>
      <c r="B164" t="s">
        <v>174</v>
      </c>
      <c r="C164" t="s">
        <v>1180</v>
      </c>
      <c r="D164" t="s">
        <v>1181</v>
      </c>
      <c r="E164" t="s">
        <v>1182</v>
      </c>
      <c r="F164" t="s">
        <v>638</v>
      </c>
      <c r="G164" t="s">
        <v>554</v>
      </c>
      <c r="H164" t="s">
        <v>554</v>
      </c>
      <c r="I164" t="s">
        <v>555</v>
      </c>
    </row>
    <row r="165" spans="1:9" ht="11.25" customHeight="1" x14ac:dyDescent="0.3">
      <c r="A165" t="s">
        <v>548</v>
      </c>
      <c r="B165" t="s">
        <v>174</v>
      </c>
      <c r="C165" t="s">
        <v>1183</v>
      </c>
      <c r="D165" t="s">
        <v>1184</v>
      </c>
      <c r="E165" t="s">
        <v>1185</v>
      </c>
      <c r="F165" t="s">
        <v>794</v>
      </c>
      <c r="G165" t="s">
        <v>1186</v>
      </c>
      <c r="H165" t="s">
        <v>554</v>
      </c>
      <c r="I165" t="s">
        <v>555</v>
      </c>
    </row>
    <row r="166" spans="1:9" ht="11.25" customHeight="1" x14ac:dyDescent="0.3">
      <c r="A166" t="s">
        <v>548</v>
      </c>
      <c r="B166" t="s">
        <v>174</v>
      </c>
      <c r="C166" t="s">
        <v>1187</v>
      </c>
      <c r="D166" t="s">
        <v>1188</v>
      </c>
      <c r="E166" t="s">
        <v>1189</v>
      </c>
      <c r="F166" t="s">
        <v>721</v>
      </c>
      <c r="G166" t="s">
        <v>1190</v>
      </c>
      <c r="H166" t="s">
        <v>554</v>
      </c>
      <c r="I166" t="s">
        <v>555</v>
      </c>
    </row>
    <row r="167" spans="1:9" ht="11.25" customHeight="1" x14ac:dyDescent="0.3">
      <c r="A167" t="s">
        <v>548</v>
      </c>
      <c r="B167" t="s">
        <v>174</v>
      </c>
      <c r="C167" t="s">
        <v>1191</v>
      </c>
      <c r="D167" t="s">
        <v>1192</v>
      </c>
      <c r="E167" t="s">
        <v>1193</v>
      </c>
      <c r="F167" t="s">
        <v>596</v>
      </c>
      <c r="G167" t="s">
        <v>1194</v>
      </c>
      <c r="H167" t="s">
        <v>554</v>
      </c>
      <c r="I167" t="s">
        <v>555</v>
      </c>
    </row>
    <row r="168" spans="1:9" ht="11.25" customHeight="1" x14ac:dyDescent="0.3">
      <c r="A168" t="s">
        <v>548</v>
      </c>
      <c r="B168" t="s">
        <v>174</v>
      </c>
      <c r="C168" t="s">
        <v>1195</v>
      </c>
      <c r="D168" t="s">
        <v>1196</v>
      </c>
      <c r="E168" t="s">
        <v>1197</v>
      </c>
      <c r="F168" t="s">
        <v>572</v>
      </c>
      <c r="G168" t="s">
        <v>1090</v>
      </c>
      <c r="H168" t="s">
        <v>554</v>
      </c>
      <c r="I168" t="s">
        <v>555</v>
      </c>
    </row>
    <row r="169" spans="1:9" ht="11.25" customHeight="1" x14ac:dyDescent="0.3">
      <c r="A169" t="s">
        <v>548</v>
      </c>
      <c r="B169" t="s">
        <v>174</v>
      </c>
      <c r="C169" t="s">
        <v>1198</v>
      </c>
      <c r="D169" t="s">
        <v>1199</v>
      </c>
      <c r="E169" t="s">
        <v>1200</v>
      </c>
      <c r="F169" t="s">
        <v>985</v>
      </c>
      <c r="G169" t="s">
        <v>554</v>
      </c>
      <c r="H169" t="s">
        <v>554</v>
      </c>
      <c r="I169" t="s">
        <v>555</v>
      </c>
    </row>
    <row r="170" spans="1:9" ht="11.25" customHeight="1" x14ac:dyDescent="0.3">
      <c r="A170" t="s">
        <v>548</v>
      </c>
      <c r="B170" t="s">
        <v>174</v>
      </c>
      <c r="C170" t="s">
        <v>1201</v>
      </c>
      <c r="D170" t="s">
        <v>1202</v>
      </c>
      <c r="E170" t="s">
        <v>1203</v>
      </c>
      <c r="F170" t="s">
        <v>576</v>
      </c>
      <c r="G170" t="s">
        <v>1204</v>
      </c>
      <c r="H170" t="s">
        <v>554</v>
      </c>
      <c r="I170" t="s">
        <v>555</v>
      </c>
    </row>
    <row r="171" spans="1:9" ht="11.25" customHeight="1" x14ac:dyDescent="0.3">
      <c r="A171" t="s">
        <v>548</v>
      </c>
      <c r="B171" t="s">
        <v>174</v>
      </c>
      <c r="C171" t="s">
        <v>1205</v>
      </c>
      <c r="D171" t="s">
        <v>1206</v>
      </c>
      <c r="E171" t="s">
        <v>1207</v>
      </c>
      <c r="F171" t="s">
        <v>651</v>
      </c>
      <c r="G171" t="s">
        <v>953</v>
      </c>
      <c r="H171" t="s">
        <v>554</v>
      </c>
      <c r="I171" t="s">
        <v>555</v>
      </c>
    </row>
    <row r="172" spans="1:9" ht="11.25" customHeight="1" x14ac:dyDescent="0.3">
      <c r="A172" t="s">
        <v>548</v>
      </c>
      <c r="B172" t="s">
        <v>174</v>
      </c>
      <c r="C172" t="s">
        <v>1208</v>
      </c>
      <c r="D172" t="s">
        <v>1209</v>
      </c>
      <c r="E172" t="s">
        <v>1210</v>
      </c>
      <c r="F172" t="s">
        <v>563</v>
      </c>
      <c r="G172" t="s">
        <v>722</v>
      </c>
      <c r="H172" t="s">
        <v>554</v>
      </c>
      <c r="I172" t="s">
        <v>555</v>
      </c>
    </row>
    <row r="173" spans="1:9" ht="11.25" customHeight="1" x14ac:dyDescent="0.3">
      <c r="A173" t="s">
        <v>548</v>
      </c>
      <c r="B173" t="s">
        <v>174</v>
      </c>
      <c r="C173" t="s">
        <v>1211</v>
      </c>
      <c r="D173" t="s">
        <v>1212</v>
      </c>
      <c r="E173" t="s">
        <v>1213</v>
      </c>
      <c r="F173" t="s">
        <v>1214</v>
      </c>
      <c r="G173" t="s">
        <v>554</v>
      </c>
      <c r="H173" t="s">
        <v>554</v>
      </c>
      <c r="I173" t="s">
        <v>555</v>
      </c>
    </row>
    <row r="174" spans="1:9" ht="11.25" customHeight="1" x14ac:dyDescent="0.3">
      <c r="A174" t="s">
        <v>548</v>
      </c>
      <c r="B174" t="s">
        <v>174</v>
      </c>
      <c r="C174" t="s">
        <v>1215</v>
      </c>
      <c r="D174" t="s">
        <v>1216</v>
      </c>
      <c r="E174" t="s">
        <v>1217</v>
      </c>
      <c r="F174" t="s">
        <v>794</v>
      </c>
      <c r="G174" t="s">
        <v>1218</v>
      </c>
      <c r="H174" t="s">
        <v>554</v>
      </c>
      <c r="I174" t="s">
        <v>555</v>
      </c>
    </row>
    <row r="175" spans="1:9" ht="11.25" customHeight="1" x14ac:dyDescent="0.3">
      <c r="A175" t="s">
        <v>548</v>
      </c>
      <c r="B175" t="s">
        <v>174</v>
      </c>
      <c r="C175" t="s">
        <v>1219</v>
      </c>
      <c r="D175" t="s">
        <v>1220</v>
      </c>
      <c r="E175" t="s">
        <v>1221</v>
      </c>
      <c r="F175" t="s">
        <v>1166</v>
      </c>
      <c r="G175" t="s">
        <v>554</v>
      </c>
      <c r="H175" t="s">
        <v>554</v>
      </c>
      <c r="I175" t="s">
        <v>555</v>
      </c>
    </row>
    <row r="176" spans="1:9" ht="11.25" customHeight="1" x14ac:dyDescent="0.3">
      <c r="A176" t="s">
        <v>548</v>
      </c>
      <c r="B176" t="s">
        <v>174</v>
      </c>
      <c r="C176" t="s">
        <v>1222</v>
      </c>
      <c r="D176" t="s">
        <v>1223</v>
      </c>
      <c r="E176" t="s">
        <v>1224</v>
      </c>
      <c r="F176" t="s">
        <v>812</v>
      </c>
      <c r="G176" t="s">
        <v>1225</v>
      </c>
      <c r="H176" t="s">
        <v>554</v>
      </c>
      <c r="I176" t="s">
        <v>555</v>
      </c>
    </row>
    <row r="177" spans="1:9" ht="11.25" customHeight="1" x14ac:dyDescent="0.3">
      <c r="A177" t="s">
        <v>548</v>
      </c>
      <c r="B177" t="s">
        <v>174</v>
      </c>
      <c r="C177" t="s">
        <v>1226</v>
      </c>
      <c r="D177" t="s">
        <v>1227</v>
      </c>
      <c r="E177" t="s">
        <v>1228</v>
      </c>
      <c r="F177" t="s">
        <v>584</v>
      </c>
      <c r="G177" t="s">
        <v>1229</v>
      </c>
      <c r="H177" t="s">
        <v>554</v>
      </c>
      <c r="I177" t="s">
        <v>555</v>
      </c>
    </row>
    <row r="178" spans="1:9" ht="11.25" customHeight="1" x14ac:dyDescent="0.3">
      <c r="A178" t="s">
        <v>548</v>
      </c>
      <c r="B178" t="s">
        <v>174</v>
      </c>
      <c r="C178" t="s">
        <v>1230</v>
      </c>
      <c r="D178" t="s">
        <v>1231</v>
      </c>
      <c r="E178" t="s">
        <v>1232</v>
      </c>
      <c r="F178" t="s">
        <v>576</v>
      </c>
      <c r="G178" t="s">
        <v>1233</v>
      </c>
      <c r="H178" t="s">
        <v>554</v>
      </c>
      <c r="I178" t="s">
        <v>555</v>
      </c>
    </row>
    <row r="179" spans="1:9" ht="11.25" customHeight="1" x14ac:dyDescent="0.3">
      <c r="A179" t="s">
        <v>548</v>
      </c>
      <c r="B179" t="s">
        <v>174</v>
      </c>
      <c r="C179" t="s">
        <v>1234</v>
      </c>
      <c r="D179" t="s">
        <v>1235</v>
      </c>
      <c r="E179" t="s">
        <v>1236</v>
      </c>
      <c r="F179" t="s">
        <v>651</v>
      </c>
      <c r="G179" t="s">
        <v>1237</v>
      </c>
      <c r="H179" t="s">
        <v>554</v>
      </c>
      <c r="I179" t="s">
        <v>555</v>
      </c>
    </row>
    <row r="180" spans="1:9" ht="11.25" customHeight="1" x14ac:dyDescent="0.3">
      <c r="A180" t="s">
        <v>548</v>
      </c>
      <c r="B180" t="s">
        <v>174</v>
      </c>
      <c r="C180" t="s">
        <v>1238</v>
      </c>
      <c r="D180" t="s">
        <v>1239</v>
      </c>
      <c r="E180" t="s">
        <v>1240</v>
      </c>
      <c r="F180" t="s">
        <v>1241</v>
      </c>
      <c r="G180" t="s">
        <v>1242</v>
      </c>
      <c r="H180" t="s">
        <v>554</v>
      </c>
      <c r="I180" t="s">
        <v>555</v>
      </c>
    </row>
    <row r="181" spans="1:9" ht="11.25" customHeight="1" x14ac:dyDescent="0.3">
      <c r="A181" t="s">
        <v>548</v>
      </c>
      <c r="B181" t="s">
        <v>174</v>
      </c>
      <c r="C181" t="s">
        <v>1243</v>
      </c>
      <c r="D181" t="s">
        <v>1244</v>
      </c>
      <c r="E181" t="s">
        <v>1245</v>
      </c>
      <c r="F181" t="s">
        <v>1014</v>
      </c>
      <c r="G181" t="s">
        <v>554</v>
      </c>
      <c r="H181" t="s">
        <v>554</v>
      </c>
      <c r="I181" t="s">
        <v>555</v>
      </c>
    </row>
    <row r="182" spans="1:9" ht="11.25" customHeight="1" x14ac:dyDescent="0.3">
      <c r="A182" t="s">
        <v>548</v>
      </c>
      <c r="B182" t="s">
        <v>174</v>
      </c>
      <c r="C182" t="s">
        <v>1246</v>
      </c>
      <c r="D182" t="s">
        <v>1247</v>
      </c>
      <c r="E182" t="s">
        <v>1248</v>
      </c>
      <c r="F182" t="s">
        <v>651</v>
      </c>
      <c r="G182" t="s">
        <v>1249</v>
      </c>
      <c r="H182" t="s">
        <v>554</v>
      </c>
      <c r="I182" t="s">
        <v>555</v>
      </c>
    </row>
    <row r="183" spans="1:9" ht="11.25" customHeight="1" x14ac:dyDescent="0.3">
      <c r="A183" t="s">
        <v>548</v>
      </c>
      <c r="B183" t="s">
        <v>174</v>
      </c>
      <c r="C183" t="s">
        <v>1250</v>
      </c>
      <c r="D183" t="s">
        <v>1251</v>
      </c>
      <c r="E183" t="s">
        <v>683</v>
      </c>
      <c r="F183" t="s">
        <v>1252</v>
      </c>
      <c r="G183" t="s">
        <v>554</v>
      </c>
      <c r="H183" t="s">
        <v>554</v>
      </c>
      <c r="I183" t="s">
        <v>555</v>
      </c>
    </row>
    <row r="184" spans="1:9" ht="11.25" customHeight="1" x14ac:dyDescent="0.3">
      <c r="A184" t="s">
        <v>548</v>
      </c>
      <c r="B184" t="s">
        <v>174</v>
      </c>
      <c r="C184" t="s">
        <v>1253</v>
      </c>
      <c r="D184" t="s">
        <v>1254</v>
      </c>
      <c r="E184" t="s">
        <v>1255</v>
      </c>
      <c r="F184" t="s">
        <v>596</v>
      </c>
      <c r="G184" t="s">
        <v>680</v>
      </c>
      <c r="H184" t="s">
        <v>554</v>
      </c>
      <c r="I184" t="s">
        <v>555</v>
      </c>
    </row>
    <row r="185" spans="1:9" ht="11.25" customHeight="1" x14ac:dyDescent="0.3">
      <c r="A185" t="s">
        <v>548</v>
      </c>
      <c r="B185" t="s">
        <v>174</v>
      </c>
      <c r="C185" t="s">
        <v>1256</v>
      </c>
      <c r="D185" t="s">
        <v>1257</v>
      </c>
      <c r="E185" t="s">
        <v>1240</v>
      </c>
      <c r="F185" t="s">
        <v>1014</v>
      </c>
      <c r="G185" t="s">
        <v>554</v>
      </c>
      <c r="H185" t="s">
        <v>554</v>
      </c>
      <c r="I185" t="s">
        <v>555</v>
      </c>
    </row>
    <row r="186" spans="1:9" ht="11.25" customHeight="1" x14ac:dyDescent="0.3">
      <c r="A186" t="s">
        <v>548</v>
      </c>
      <c r="B186" t="s">
        <v>174</v>
      </c>
      <c r="C186" t="s">
        <v>1258</v>
      </c>
      <c r="D186" t="s">
        <v>1259</v>
      </c>
      <c r="E186" t="s">
        <v>1260</v>
      </c>
      <c r="F186" t="s">
        <v>576</v>
      </c>
      <c r="G186" t="s">
        <v>554</v>
      </c>
      <c r="H186" t="s">
        <v>554</v>
      </c>
      <c r="I186" t="s">
        <v>555</v>
      </c>
    </row>
    <row r="187" spans="1:9" ht="11.25" customHeight="1" x14ac:dyDescent="0.3">
      <c r="A187" t="s">
        <v>548</v>
      </c>
      <c r="B187" t="s">
        <v>174</v>
      </c>
      <c r="C187" t="s">
        <v>1261</v>
      </c>
      <c r="D187" t="s">
        <v>1262</v>
      </c>
      <c r="E187" t="s">
        <v>1263</v>
      </c>
      <c r="F187" t="s">
        <v>563</v>
      </c>
      <c r="G187" t="s">
        <v>1264</v>
      </c>
      <c r="H187" t="s">
        <v>554</v>
      </c>
      <c r="I187" t="s">
        <v>555</v>
      </c>
    </row>
    <row r="188" spans="1:9" ht="11.25" customHeight="1" x14ac:dyDescent="0.3">
      <c r="A188" t="s">
        <v>548</v>
      </c>
      <c r="B188" t="s">
        <v>174</v>
      </c>
      <c r="C188" t="s">
        <v>1265</v>
      </c>
      <c r="D188" t="s">
        <v>1266</v>
      </c>
      <c r="E188" t="s">
        <v>1267</v>
      </c>
      <c r="F188" t="s">
        <v>1268</v>
      </c>
      <c r="G188" t="s">
        <v>1269</v>
      </c>
      <c r="H188" t="s">
        <v>554</v>
      </c>
      <c r="I188" t="s">
        <v>555</v>
      </c>
    </row>
    <row r="189" spans="1:9" ht="11.25" customHeight="1" x14ac:dyDescent="0.3">
      <c r="A189" t="s">
        <v>548</v>
      </c>
      <c r="B189" t="s">
        <v>174</v>
      </c>
      <c r="C189" t="s">
        <v>1270</v>
      </c>
      <c r="D189" t="s">
        <v>1271</v>
      </c>
      <c r="E189" t="s">
        <v>1272</v>
      </c>
      <c r="F189" t="s">
        <v>1273</v>
      </c>
      <c r="G189" t="s">
        <v>554</v>
      </c>
      <c r="H189" t="s">
        <v>554</v>
      </c>
      <c r="I189" t="s">
        <v>555</v>
      </c>
    </row>
    <row r="190" spans="1:9" ht="11.25" customHeight="1" x14ac:dyDescent="0.3">
      <c r="A190" t="s">
        <v>548</v>
      </c>
      <c r="B190" t="s">
        <v>174</v>
      </c>
      <c r="C190" t="s">
        <v>1274</v>
      </c>
      <c r="D190" t="s">
        <v>1275</v>
      </c>
      <c r="E190" t="s">
        <v>1276</v>
      </c>
      <c r="F190" t="s">
        <v>1277</v>
      </c>
      <c r="G190" t="s">
        <v>1278</v>
      </c>
      <c r="H190" t="s">
        <v>554</v>
      </c>
      <c r="I190" t="s">
        <v>555</v>
      </c>
    </row>
    <row r="191" spans="1:9" ht="11.25" customHeight="1" x14ac:dyDescent="0.3">
      <c r="A191" t="s">
        <v>548</v>
      </c>
      <c r="B191" t="s">
        <v>174</v>
      </c>
      <c r="C191" t="s">
        <v>1279</v>
      </c>
      <c r="D191" t="s">
        <v>1280</v>
      </c>
      <c r="E191" t="s">
        <v>1281</v>
      </c>
      <c r="F191" t="s">
        <v>638</v>
      </c>
      <c r="G191" t="s">
        <v>1282</v>
      </c>
      <c r="H191" t="s">
        <v>554</v>
      </c>
      <c r="I191" t="s">
        <v>78</v>
      </c>
    </row>
    <row r="192" spans="1:9" ht="11.25" customHeight="1" x14ac:dyDescent="0.3">
      <c r="A192" t="s">
        <v>548</v>
      </c>
      <c r="B192" t="s">
        <v>174</v>
      </c>
      <c r="C192" t="s">
        <v>1283</v>
      </c>
      <c r="D192" t="s">
        <v>1284</v>
      </c>
      <c r="E192" t="s">
        <v>1285</v>
      </c>
      <c r="F192" t="s">
        <v>584</v>
      </c>
      <c r="G192" t="s">
        <v>554</v>
      </c>
      <c r="H192" t="s">
        <v>554</v>
      </c>
      <c r="I192" t="s">
        <v>78</v>
      </c>
    </row>
    <row r="193" spans="1:9" ht="11.25" customHeight="1" x14ac:dyDescent="0.3">
      <c r="A193" t="s">
        <v>548</v>
      </c>
      <c r="B193" t="s">
        <v>174</v>
      </c>
      <c r="C193" t="s">
        <v>1286</v>
      </c>
      <c r="D193" t="s">
        <v>1287</v>
      </c>
      <c r="E193" t="s">
        <v>1288</v>
      </c>
      <c r="F193" t="s">
        <v>878</v>
      </c>
      <c r="G193" t="s">
        <v>1289</v>
      </c>
      <c r="H193" t="s">
        <v>554</v>
      </c>
      <c r="I193" t="s">
        <v>78</v>
      </c>
    </row>
    <row r="194" spans="1:9" ht="11.25" customHeight="1" x14ac:dyDescent="0.3">
      <c r="A194" t="s">
        <v>548</v>
      </c>
      <c r="B194" t="s">
        <v>174</v>
      </c>
      <c r="C194" t="s">
        <v>560</v>
      </c>
      <c r="D194" t="s">
        <v>561</v>
      </c>
      <c r="E194" t="s">
        <v>562</v>
      </c>
      <c r="F194" t="s">
        <v>563</v>
      </c>
      <c r="G194" t="s">
        <v>554</v>
      </c>
      <c r="H194" t="s">
        <v>554</v>
      </c>
      <c r="I194" t="s">
        <v>78</v>
      </c>
    </row>
    <row r="195" spans="1:9" ht="11.25" customHeight="1" x14ac:dyDescent="0.3">
      <c r="A195" t="s">
        <v>548</v>
      </c>
      <c r="B195" t="s">
        <v>174</v>
      </c>
      <c r="C195" t="s">
        <v>569</v>
      </c>
      <c r="D195" t="s">
        <v>570</v>
      </c>
      <c r="E195" t="s">
        <v>571</v>
      </c>
      <c r="F195" t="s">
        <v>572</v>
      </c>
      <c r="G195" t="s">
        <v>554</v>
      </c>
      <c r="H195" t="s">
        <v>554</v>
      </c>
      <c r="I195" t="s">
        <v>78</v>
      </c>
    </row>
    <row r="196" spans="1:9" ht="11.25" customHeight="1" x14ac:dyDescent="0.3">
      <c r="A196" t="s">
        <v>548</v>
      </c>
      <c r="B196" t="s">
        <v>174</v>
      </c>
      <c r="C196" t="s">
        <v>1290</v>
      </c>
      <c r="D196" t="s">
        <v>1291</v>
      </c>
      <c r="E196" t="s">
        <v>1292</v>
      </c>
      <c r="F196" t="s">
        <v>1293</v>
      </c>
      <c r="G196" t="s">
        <v>1294</v>
      </c>
      <c r="H196" t="s">
        <v>554</v>
      </c>
      <c r="I196" t="s">
        <v>78</v>
      </c>
    </row>
    <row r="197" spans="1:9" ht="11.25" customHeight="1" x14ac:dyDescent="0.3">
      <c r="A197" t="s">
        <v>548</v>
      </c>
      <c r="B197" t="s">
        <v>174</v>
      </c>
      <c r="C197" t="s">
        <v>1295</v>
      </c>
      <c r="D197" t="s">
        <v>1296</v>
      </c>
      <c r="E197" t="s">
        <v>1297</v>
      </c>
      <c r="F197" t="s">
        <v>584</v>
      </c>
      <c r="G197" t="s">
        <v>1298</v>
      </c>
      <c r="H197" t="s">
        <v>554</v>
      </c>
      <c r="I197" t="s">
        <v>78</v>
      </c>
    </row>
    <row r="198" spans="1:9" ht="11.25" customHeight="1" x14ac:dyDescent="0.3">
      <c r="A198" t="s">
        <v>548</v>
      </c>
      <c r="B198" t="s">
        <v>174</v>
      </c>
      <c r="C198" t="s">
        <v>1299</v>
      </c>
      <c r="D198" t="s">
        <v>1300</v>
      </c>
      <c r="E198" t="s">
        <v>1301</v>
      </c>
      <c r="F198" t="s">
        <v>1014</v>
      </c>
      <c r="G198" t="s">
        <v>554</v>
      </c>
      <c r="H198" t="s">
        <v>554</v>
      </c>
      <c r="I198" t="s">
        <v>78</v>
      </c>
    </row>
    <row r="199" spans="1:9" ht="11.25" customHeight="1" x14ac:dyDescent="0.3">
      <c r="A199" t="s">
        <v>548</v>
      </c>
      <c r="B199" t="s">
        <v>174</v>
      </c>
      <c r="C199" t="s">
        <v>585</v>
      </c>
      <c r="D199" t="s">
        <v>586</v>
      </c>
      <c r="E199" t="s">
        <v>587</v>
      </c>
      <c r="F199" t="s">
        <v>588</v>
      </c>
      <c r="G199" t="s">
        <v>589</v>
      </c>
      <c r="H199" t="s">
        <v>554</v>
      </c>
      <c r="I199" t="s">
        <v>78</v>
      </c>
    </row>
    <row r="200" spans="1:9" ht="11.25" customHeight="1" x14ac:dyDescent="0.3">
      <c r="A200" t="s">
        <v>548</v>
      </c>
      <c r="B200" t="s">
        <v>174</v>
      </c>
      <c r="C200" t="s">
        <v>590</v>
      </c>
      <c r="D200" t="s">
        <v>591</v>
      </c>
      <c r="E200" t="s">
        <v>592</v>
      </c>
      <c r="F200" t="s">
        <v>588</v>
      </c>
      <c r="G200" t="s">
        <v>554</v>
      </c>
      <c r="H200" t="s">
        <v>554</v>
      </c>
      <c r="I200" t="s">
        <v>78</v>
      </c>
    </row>
    <row r="201" spans="1:9" ht="11.25" customHeight="1" x14ac:dyDescent="0.3">
      <c r="A201" t="s">
        <v>548</v>
      </c>
      <c r="B201" t="s">
        <v>174</v>
      </c>
      <c r="C201" t="s">
        <v>593</v>
      </c>
      <c r="D201" t="s">
        <v>594</v>
      </c>
      <c r="E201" t="s">
        <v>595</v>
      </c>
      <c r="F201" t="s">
        <v>596</v>
      </c>
      <c r="G201" t="s">
        <v>554</v>
      </c>
      <c r="H201" t="s">
        <v>554</v>
      </c>
      <c r="I201" t="s">
        <v>78</v>
      </c>
    </row>
    <row r="202" spans="1:9" ht="11.25" customHeight="1" x14ac:dyDescent="0.3">
      <c r="A202" t="s">
        <v>548</v>
      </c>
      <c r="B202" t="s">
        <v>174</v>
      </c>
      <c r="C202" t="s">
        <v>601</v>
      </c>
      <c r="D202" t="s">
        <v>602</v>
      </c>
      <c r="E202" t="s">
        <v>603</v>
      </c>
      <c r="F202" t="s">
        <v>604</v>
      </c>
      <c r="G202" t="s">
        <v>605</v>
      </c>
      <c r="H202" t="s">
        <v>554</v>
      </c>
      <c r="I202" t="s">
        <v>78</v>
      </c>
    </row>
    <row r="203" spans="1:9" ht="11.25" customHeight="1" x14ac:dyDescent="0.3">
      <c r="A203" t="s">
        <v>548</v>
      </c>
      <c r="B203" t="s">
        <v>174</v>
      </c>
      <c r="C203" t="s">
        <v>609</v>
      </c>
      <c r="D203" t="s">
        <v>610</v>
      </c>
      <c r="E203" t="s">
        <v>611</v>
      </c>
      <c r="F203" t="s">
        <v>612</v>
      </c>
      <c r="G203" t="s">
        <v>554</v>
      </c>
      <c r="H203" t="s">
        <v>554</v>
      </c>
      <c r="I203" t="s">
        <v>78</v>
      </c>
    </row>
    <row r="204" spans="1:9" ht="11.25" customHeight="1" x14ac:dyDescent="0.3">
      <c r="A204" t="s">
        <v>548</v>
      </c>
      <c r="B204" t="s">
        <v>174</v>
      </c>
      <c r="C204" t="s">
        <v>613</v>
      </c>
      <c r="D204" t="s">
        <v>614</v>
      </c>
      <c r="E204" t="s">
        <v>615</v>
      </c>
      <c r="F204" t="s">
        <v>616</v>
      </c>
      <c r="G204" t="s">
        <v>554</v>
      </c>
      <c r="H204" t="s">
        <v>554</v>
      </c>
      <c r="I204" t="s">
        <v>78</v>
      </c>
    </row>
    <row r="205" spans="1:9" ht="11.25" customHeight="1" x14ac:dyDescent="0.3">
      <c r="A205" t="s">
        <v>548</v>
      </c>
      <c r="B205" t="s">
        <v>174</v>
      </c>
      <c r="C205" t="s">
        <v>1302</v>
      </c>
      <c r="D205" t="s">
        <v>1303</v>
      </c>
      <c r="E205" t="s">
        <v>1304</v>
      </c>
      <c r="F205" t="s">
        <v>803</v>
      </c>
      <c r="G205" t="s">
        <v>554</v>
      </c>
      <c r="H205" t="s">
        <v>554</v>
      </c>
      <c r="I205" t="s">
        <v>78</v>
      </c>
    </row>
    <row r="206" spans="1:9" ht="11.25" customHeight="1" x14ac:dyDescent="0.3">
      <c r="A206" t="s">
        <v>548</v>
      </c>
      <c r="B206" t="s">
        <v>174</v>
      </c>
      <c r="C206" t="s">
        <v>626</v>
      </c>
      <c r="D206" t="s">
        <v>627</v>
      </c>
      <c r="E206" t="s">
        <v>628</v>
      </c>
      <c r="F206" t="s">
        <v>596</v>
      </c>
      <c r="G206" t="s">
        <v>554</v>
      </c>
      <c r="H206" t="s">
        <v>554</v>
      </c>
      <c r="I206" t="s">
        <v>78</v>
      </c>
    </row>
    <row r="207" spans="1:9" ht="11.25" customHeight="1" x14ac:dyDescent="0.3">
      <c r="A207" t="s">
        <v>548</v>
      </c>
      <c r="B207" t="s">
        <v>174</v>
      </c>
      <c r="C207" t="s">
        <v>632</v>
      </c>
      <c r="D207" t="s">
        <v>633</v>
      </c>
      <c r="E207" t="s">
        <v>634</v>
      </c>
      <c r="F207" t="s">
        <v>596</v>
      </c>
      <c r="G207" t="s">
        <v>554</v>
      </c>
      <c r="H207" t="s">
        <v>554</v>
      </c>
      <c r="I207" t="s">
        <v>78</v>
      </c>
    </row>
    <row r="208" spans="1:9" ht="11.25" customHeight="1" x14ac:dyDescent="0.3">
      <c r="A208" t="s">
        <v>548</v>
      </c>
      <c r="B208" t="s">
        <v>174</v>
      </c>
      <c r="C208" t="s">
        <v>640</v>
      </c>
      <c r="D208" t="s">
        <v>641</v>
      </c>
      <c r="E208" t="s">
        <v>642</v>
      </c>
      <c r="F208" t="s">
        <v>638</v>
      </c>
      <c r="G208" t="s">
        <v>643</v>
      </c>
      <c r="H208" t="s">
        <v>554</v>
      </c>
      <c r="I208" t="s">
        <v>78</v>
      </c>
    </row>
    <row r="209" spans="1:9" ht="11.25" customHeight="1" x14ac:dyDescent="0.3">
      <c r="A209" t="s">
        <v>548</v>
      </c>
      <c r="B209" t="s">
        <v>174</v>
      </c>
      <c r="C209" t="s">
        <v>653</v>
      </c>
      <c r="D209" t="s">
        <v>654</v>
      </c>
      <c r="E209" t="s">
        <v>655</v>
      </c>
      <c r="F209" t="s">
        <v>596</v>
      </c>
      <c r="G209" t="s">
        <v>656</v>
      </c>
      <c r="H209" t="s">
        <v>554</v>
      </c>
      <c r="I209" t="s">
        <v>78</v>
      </c>
    </row>
    <row r="210" spans="1:9" ht="11.25" customHeight="1" x14ac:dyDescent="0.3">
      <c r="A210" t="s">
        <v>548</v>
      </c>
      <c r="B210" t="s">
        <v>174</v>
      </c>
      <c r="C210" t="s">
        <v>657</v>
      </c>
      <c r="D210" t="s">
        <v>658</v>
      </c>
      <c r="E210" t="s">
        <v>659</v>
      </c>
      <c r="F210" t="s">
        <v>596</v>
      </c>
      <c r="G210" t="s">
        <v>554</v>
      </c>
      <c r="H210" t="s">
        <v>554</v>
      </c>
      <c r="I210" t="s">
        <v>78</v>
      </c>
    </row>
    <row r="211" spans="1:9" ht="11.25" customHeight="1" x14ac:dyDescent="0.3">
      <c r="A211" t="s">
        <v>548</v>
      </c>
      <c r="B211" t="s">
        <v>174</v>
      </c>
      <c r="C211" t="s">
        <v>672</v>
      </c>
      <c r="D211" t="s">
        <v>673</v>
      </c>
      <c r="E211" t="s">
        <v>674</v>
      </c>
      <c r="F211" t="s">
        <v>563</v>
      </c>
      <c r="G211" t="s">
        <v>675</v>
      </c>
      <c r="H211" t="s">
        <v>554</v>
      </c>
      <c r="I211" t="s">
        <v>78</v>
      </c>
    </row>
    <row r="212" spans="1:9" ht="11.25" customHeight="1" x14ac:dyDescent="0.3">
      <c r="A212" t="s">
        <v>548</v>
      </c>
      <c r="B212" t="s">
        <v>174</v>
      </c>
      <c r="C212" t="s">
        <v>1305</v>
      </c>
      <c r="D212" t="s">
        <v>1306</v>
      </c>
      <c r="E212" t="s">
        <v>1307</v>
      </c>
      <c r="F212" t="s">
        <v>918</v>
      </c>
      <c r="G212" t="s">
        <v>554</v>
      </c>
      <c r="H212" t="s">
        <v>554</v>
      </c>
      <c r="I212" t="s">
        <v>78</v>
      </c>
    </row>
    <row r="213" spans="1:9" ht="11.25" customHeight="1" x14ac:dyDescent="0.3">
      <c r="A213" t="s">
        <v>548</v>
      </c>
      <c r="B213" t="s">
        <v>174</v>
      </c>
      <c r="C213" t="s">
        <v>1308</v>
      </c>
      <c r="D213" t="s">
        <v>1309</v>
      </c>
      <c r="E213" t="s">
        <v>1310</v>
      </c>
      <c r="F213" t="s">
        <v>596</v>
      </c>
      <c r="G213" t="s">
        <v>1311</v>
      </c>
      <c r="H213" t="s">
        <v>554</v>
      </c>
      <c r="I213" t="s">
        <v>78</v>
      </c>
    </row>
    <row r="214" spans="1:9" ht="11.25" customHeight="1" x14ac:dyDescent="0.3">
      <c r="A214" t="s">
        <v>548</v>
      </c>
      <c r="B214" t="s">
        <v>174</v>
      </c>
      <c r="C214" t="s">
        <v>681</v>
      </c>
      <c r="D214" t="s">
        <v>682</v>
      </c>
      <c r="E214" t="s">
        <v>683</v>
      </c>
      <c r="F214" t="s">
        <v>684</v>
      </c>
      <c r="G214" t="s">
        <v>685</v>
      </c>
      <c r="H214" t="s">
        <v>554</v>
      </c>
      <c r="I214" t="s">
        <v>78</v>
      </c>
    </row>
    <row r="215" spans="1:9" ht="11.25" customHeight="1" x14ac:dyDescent="0.3">
      <c r="A215" t="s">
        <v>548</v>
      </c>
      <c r="B215" t="s">
        <v>174</v>
      </c>
      <c r="C215" t="s">
        <v>1312</v>
      </c>
      <c r="D215" t="s">
        <v>1313</v>
      </c>
      <c r="E215" t="s">
        <v>1314</v>
      </c>
      <c r="F215" t="s">
        <v>812</v>
      </c>
      <c r="G215" t="s">
        <v>554</v>
      </c>
      <c r="H215" t="s">
        <v>554</v>
      </c>
      <c r="I215" t="s">
        <v>78</v>
      </c>
    </row>
    <row r="216" spans="1:9" ht="11.25" customHeight="1" x14ac:dyDescent="0.3">
      <c r="A216" t="s">
        <v>548</v>
      </c>
      <c r="B216" t="s">
        <v>174</v>
      </c>
      <c r="C216" t="s">
        <v>686</v>
      </c>
      <c r="D216" t="s">
        <v>687</v>
      </c>
      <c r="E216" t="s">
        <v>688</v>
      </c>
      <c r="F216" t="s">
        <v>26</v>
      </c>
      <c r="G216" t="s">
        <v>689</v>
      </c>
      <c r="H216" t="s">
        <v>554</v>
      </c>
      <c r="I216" t="s">
        <v>78</v>
      </c>
    </row>
    <row r="217" spans="1:9" ht="11.25" customHeight="1" x14ac:dyDescent="0.3">
      <c r="A217" t="s">
        <v>548</v>
      </c>
      <c r="B217" t="s">
        <v>174</v>
      </c>
      <c r="C217" t="s">
        <v>1315</v>
      </c>
      <c r="D217" t="s">
        <v>1316</v>
      </c>
      <c r="E217" t="s">
        <v>1317</v>
      </c>
      <c r="F217" t="s">
        <v>26</v>
      </c>
      <c r="G217" t="s">
        <v>1318</v>
      </c>
      <c r="H217" t="s">
        <v>554</v>
      </c>
      <c r="I217" t="s">
        <v>78</v>
      </c>
    </row>
    <row r="218" spans="1:9" ht="11.25" customHeight="1" x14ac:dyDescent="0.3">
      <c r="A218" t="s">
        <v>548</v>
      </c>
      <c r="B218" t="s">
        <v>174</v>
      </c>
      <c r="C218" t="s">
        <v>1319</v>
      </c>
      <c r="D218" t="s">
        <v>1320</v>
      </c>
      <c r="E218" t="s">
        <v>1321</v>
      </c>
      <c r="F218" t="s">
        <v>26</v>
      </c>
      <c r="G218" t="s">
        <v>554</v>
      </c>
      <c r="H218" t="s">
        <v>554</v>
      </c>
      <c r="I218" t="s">
        <v>78</v>
      </c>
    </row>
    <row r="219" spans="1:9" ht="11.25" customHeight="1" x14ac:dyDescent="0.3">
      <c r="A219" t="s">
        <v>548</v>
      </c>
      <c r="B219" t="s">
        <v>174</v>
      </c>
      <c r="C219" t="s">
        <v>1322</v>
      </c>
      <c r="D219" t="s">
        <v>1323</v>
      </c>
      <c r="E219" t="s">
        <v>615</v>
      </c>
      <c r="F219" t="s">
        <v>1324</v>
      </c>
      <c r="G219" t="s">
        <v>554</v>
      </c>
      <c r="H219" t="s">
        <v>554</v>
      </c>
      <c r="I219" t="s">
        <v>78</v>
      </c>
    </row>
    <row r="220" spans="1:9" ht="11.25" customHeight="1" x14ac:dyDescent="0.3">
      <c r="A220" t="s">
        <v>548</v>
      </c>
      <c r="B220" t="s">
        <v>174</v>
      </c>
      <c r="C220" t="s">
        <v>1325</v>
      </c>
      <c r="D220" t="s">
        <v>1326</v>
      </c>
      <c r="E220" t="s">
        <v>1327</v>
      </c>
      <c r="F220" t="s">
        <v>26</v>
      </c>
      <c r="G220" t="s">
        <v>554</v>
      </c>
      <c r="H220" t="s">
        <v>554</v>
      </c>
      <c r="I220" t="s">
        <v>78</v>
      </c>
    </row>
    <row r="221" spans="1:9" ht="11.25" customHeight="1" x14ac:dyDescent="0.3">
      <c r="A221" t="s">
        <v>548</v>
      </c>
      <c r="B221" t="s">
        <v>174</v>
      </c>
      <c r="C221" t="s">
        <v>1328</v>
      </c>
      <c r="D221" t="s">
        <v>1329</v>
      </c>
      <c r="E221" t="s">
        <v>1330</v>
      </c>
      <c r="F221" t="s">
        <v>26</v>
      </c>
      <c r="G221" t="s">
        <v>1331</v>
      </c>
      <c r="H221" t="s">
        <v>554</v>
      </c>
      <c r="I221" t="s">
        <v>78</v>
      </c>
    </row>
    <row r="222" spans="1:9" ht="11.25" customHeight="1" x14ac:dyDescent="0.3">
      <c r="A222" t="s">
        <v>548</v>
      </c>
      <c r="B222" t="s">
        <v>174</v>
      </c>
      <c r="C222" t="s">
        <v>1332</v>
      </c>
      <c r="D222" t="s">
        <v>1333</v>
      </c>
      <c r="E222" t="s">
        <v>1334</v>
      </c>
      <c r="F222" t="s">
        <v>26</v>
      </c>
      <c r="G222" t="s">
        <v>554</v>
      </c>
      <c r="H222" t="s">
        <v>554</v>
      </c>
      <c r="I222" t="s">
        <v>78</v>
      </c>
    </row>
    <row r="223" spans="1:9" ht="11.25" customHeight="1" x14ac:dyDescent="0.3">
      <c r="A223" t="s">
        <v>548</v>
      </c>
      <c r="B223" t="s">
        <v>174</v>
      </c>
      <c r="C223" t="s">
        <v>1335</v>
      </c>
      <c r="D223" t="s">
        <v>1336</v>
      </c>
      <c r="E223" t="s">
        <v>1337</v>
      </c>
      <c r="F223" t="s">
        <v>26</v>
      </c>
      <c r="G223" t="s">
        <v>1338</v>
      </c>
      <c r="H223" t="s">
        <v>554</v>
      </c>
      <c r="I223" t="s">
        <v>78</v>
      </c>
    </row>
    <row r="224" spans="1:9" ht="11.25" customHeight="1" x14ac:dyDescent="0.3">
      <c r="A224" t="s">
        <v>548</v>
      </c>
      <c r="B224" t="s">
        <v>174</v>
      </c>
      <c r="C224" t="s">
        <v>1339</v>
      </c>
      <c r="D224" t="s">
        <v>1340</v>
      </c>
      <c r="E224" t="s">
        <v>1341</v>
      </c>
      <c r="F224" t="s">
        <v>26</v>
      </c>
      <c r="G224" t="s">
        <v>554</v>
      </c>
      <c r="H224" t="s">
        <v>554</v>
      </c>
      <c r="I224" t="s">
        <v>78</v>
      </c>
    </row>
    <row r="225" spans="1:9" ht="11.25" customHeight="1" x14ac:dyDescent="0.3">
      <c r="A225" t="s">
        <v>548</v>
      </c>
      <c r="B225" t="s">
        <v>174</v>
      </c>
      <c r="C225" t="s">
        <v>1342</v>
      </c>
      <c r="D225" t="s">
        <v>1343</v>
      </c>
      <c r="E225" t="s">
        <v>1344</v>
      </c>
      <c r="F225" t="s">
        <v>26</v>
      </c>
      <c r="G225" t="s">
        <v>1345</v>
      </c>
      <c r="H225" t="s">
        <v>554</v>
      </c>
      <c r="I225" t="s">
        <v>78</v>
      </c>
    </row>
    <row r="226" spans="1:9" ht="11.25" customHeight="1" x14ac:dyDescent="0.3">
      <c r="A226" t="s">
        <v>548</v>
      </c>
      <c r="B226" t="s">
        <v>174</v>
      </c>
      <c r="C226" t="s">
        <v>1346</v>
      </c>
      <c r="D226" t="s">
        <v>1347</v>
      </c>
      <c r="E226" t="s">
        <v>1348</v>
      </c>
      <c r="F226" t="s">
        <v>26</v>
      </c>
      <c r="G226" t="s">
        <v>554</v>
      </c>
      <c r="H226" t="s">
        <v>554</v>
      </c>
      <c r="I226" t="s">
        <v>78</v>
      </c>
    </row>
    <row r="227" spans="1:9" ht="11.25" customHeight="1" x14ac:dyDescent="0.3">
      <c r="A227" t="s">
        <v>548</v>
      </c>
      <c r="B227" t="s">
        <v>174</v>
      </c>
      <c r="C227" t="s">
        <v>1349</v>
      </c>
      <c r="D227" t="s">
        <v>1350</v>
      </c>
      <c r="E227" t="s">
        <v>1351</v>
      </c>
      <c r="F227" t="s">
        <v>812</v>
      </c>
      <c r="G227" t="s">
        <v>1352</v>
      </c>
      <c r="H227" t="s">
        <v>554</v>
      </c>
      <c r="I227" t="s">
        <v>78</v>
      </c>
    </row>
    <row r="228" spans="1:9" ht="11.25" customHeight="1" x14ac:dyDescent="0.3">
      <c r="A228" t="s">
        <v>548</v>
      </c>
      <c r="B228" t="s">
        <v>174</v>
      </c>
      <c r="C228" t="s">
        <v>697</v>
      </c>
      <c r="D228" t="s">
        <v>698</v>
      </c>
      <c r="E228" t="s">
        <v>699</v>
      </c>
      <c r="F228" t="s">
        <v>700</v>
      </c>
      <c r="G228" t="s">
        <v>701</v>
      </c>
      <c r="H228" t="s">
        <v>554</v>
      </c>
      <c r="I228" t="s">
        <v>78</v>
      </c>
    </row>
    <row r="229" spans="1:9" ht="11.25" customHeight="1" x14ac:dyDescent="0.3">
      <c r="A229" t="s">
        <v>548</v>
      </c>
      <c r="B229" t="s">
        <v>174</v>
      </c>
      <c r="C229" t="s">
        <v>1353</v>
      </c>
      <c r="D229" t="s">
        <v>1354</v>
      </c>
      <c r="E229" t="s">
        <v>1355</v>
      </c>
      <c r="F229" t="s">
        <v>596</v>
      </c>
      <c r="G229" t="s">
        <v>1356</v>
      </c>
      <c r="H229" t="s">
        <v>554</v>
      </c>
      <c r="I229" t="s">
        <v>78</v>
      </c>
    </row>
    <row r="230" spans="1:9" ht="11.25" customHeight="1" x14ac:dyDescent="0.3">
      <c r="A230" t="s">
        <v>548</v>
      </c>
      <c r="B230" t="s">
        <v>174</v>
      </c>
      <c r="C230" t="s">
        <v>1357</v>
      </c>
      <c r="D230" t="s">
        <v>1354</v>
      </c>
      <c r="E230" t="s">
        <v>1358</v>
      </c>
      <c r="F230" t="s">
        <v>596</v>
      </c>
      <c r="G230" t="s">
        <v>1359</v>
      </c>
      <c r="H230" t="s">
        <v>554</v>
      </c>
      <c r="I230" t="s">
        <v>78</v>
      </c>
    </row>
    <row r="231" spans="1:9" ht="11.25" customHeight="1" x14ac:dyDescent="0.3">
      <c r="A231" t="s">
        <v>548</v>
      </c>
      <c r="B231" t="s">
        <v>174</v>
      </c>
      <c r="C231" t="s">
        <v>1360</v>
      </c>
      <c r="D231" t="s">
        <v>1361</v>
      </c>
      <c r="E231" t="s">
        <v>1362</v>
      </c>
      <c r="F231" t="s">
        <v>865</v>
      </c>
      <c r="G231" t="s">
        <v>1363</v>
      </c>
      <c r="H231" t="s">
        <v>554</v>
      </c>
      <c r="I231" t="s">
        <v>78</v>
      </c>
    </row>
    <row r="232" spans="1:9" ht="11.25" customHeight="1" x14ac:dyDescent="0.3">
      <c r="A232" t="s">
        <v>548</v>
      </c>
      <c r="B232" t="s">
        <v>174</v>
      </c>
      <c r="C232" t="s">
        <v>1364</v>
      </c>
      <c r="D232" t="s">
        <v>1365</v>
      </c>
      <c r="E232" t="s">
        <v>1366</v>
      </c>
      <c r="F232" t="s">
        <v>865</v>
      </c>
      <c r="G232" t="s">
        <v>554</v>
      </c>
      <c r="H232" t="s">
        <v>554</v>
      </c>
      <c r="I232" t="s">
        <v>78</v>
      </c>
    </row>
    <row r="233" spans="1:9" ht="11.25" customHeight="1" x14ac:dyDescent="0.3">
      <c r="A233" t="s">
        <v>548</v>
      </c>
      <c r="B233" t="s">
        <v>174</v>
      </c>
      <c r="C233" t="s">
        <v>1367</v>
      </c>
      <c r="D233" t="s">
        <v>1368</v>
      </c>
      <c r="E233" t="s">
        <v>1369</v>
      </c>
      <c r="F233" t="s">
        <v>865</v>
      </c>
      <c r="G233" t="s">
        <v>1370</v>
      </c>
      <c r="H233" t="s">
        <v>554</v>
      </c>
      <c r="I233" t="s">
        <v>78</v>
      </c>
    </row>
    <row r="234" spans="1:9" ht="11.25" customHeight="1" x14ac:dyDescent="0.3">
      <c r="A234" t="s">
        <v>548</v>
      </c>
      <c r="B234" t="s">
        <v>174</v>
      </c>
      <c r="C234" t="s">
        <v>1371</v>
      </c>
      <c r="D234" t="s">
        <v>1372</v>
      </c>
      <c r="E234" t="s">
        <v>1373</v>
      </c>
      <c r="F234" t="s">
        <v>830</v>
      </c>
      <c r="G234" t="s">
        <v>1374</v>
      </c>
      <c r="H234" t="s">
        <v>554</v>
      </c>
      <c r="I234" t="s">
        <v>78</v>
      </c>
    </row>
    <row r="235" spans="1:9" ht="11.25" customHeight="1" x14ac:dyDescent="0.3">
      <c r="A235" t="s">
        <v>548</v>
      </c>
      <c r="B235" t="s">
        <v>174</v>
      </c>
      <c r="C235" t="s">
        <v>1375</v>
      </c>
      <c r="D235" t="s">
        <v>1376</v>
      </c>
      <c r="E235" t="s">
        <v>1377</v>
      </c>
      <c r="F235" t="s">
        <v>812</v>
      </c>
      <c r="G235" t="s">
        <v>1378</v>
      </c>
      <c r="H235" t="s">
        <v>554</v>
      </c>
      <c r="I235" t="s">
        <v>78</v>
      </c>
    </row>
    <row r="236" spans="1:9" ht="11.25" customHeight="1" x14ac:dyDescent="0.3">
      <c r="A236" t="s">
        <v>548</v>
      </c>
      <c r="B236" t="s">
        <v>174</v>
      </c>
      <c r="C236" t="s">
        <v>1379</v>
      </c>
      <c r="D236" t="s">
        <v>1380</v>
      </c>
      <c r="E236" t="s">
        <v>1381</v>
      </c>
      <c r="F236" t="s">
        <v>638</v>
      </c>
      <c r="G236" t="s">
        <v>554</v>
      </c>
      <c r="H236" t="s">
        <v>554</v>
      </c>
      <c r="I236" t="s">
        <v>78</v>
      </c>
    </row>
    <row r="237" spans="1:9" ht="11.25" customHeight="1" x14ac:dyDescent="0.3">
      <c r="A237" t="s">
        <v>548</v>
      </c>
      <c r="B237" t="s">
        <v>174</v>
      </c>
      <c r="C237" t="s">
        <v>711</v>
      </c>
      <c r="D237" t="s">
        <v>712</v>
      </c>
      <c r="E237" t="s">
        <v>713</v>
      </c>
      <c r="F237" t="s">
        <v>638</v>
      </c>
      <c r="G237" t="s">
        <v>554</v>
      </c>
      <c r="H237" t="s">
        <v>554</v>
      </c>
      <c r="I237" t="s">
        <v>78</v>
      </c>
    </row>
    <row r="238" spans="1:9" ht="11.25" customHeight="1" x14ac:dyDescent="0.3">
      <c r="A238" t="s">
        <v>548</v>
      </c>
      <c r="B238" t="s">
        <v>174</v>
      </c>
      <c r="C238" t="s">
        <v>714</v>
      </c>
      <c r="D238" t="s">
        <v>715</v>
      </c>
      <c r="E238" t="s">
        <v>716</v>
      </c>
      <c r="F238" t="s">
        <v>638</v>
      </c>
      <c r="G238" t="s">
        <v>717</v>
      </c>
      <c r="H238" t="s">
        <v>554</v>
      </c>
      <c r="I238" t="s">
        <v>78</v>
      </c>
    </row>
    <row r="239" spans="1:9" ht="11.25" customHeight="1" x14ac:dyDescent="0.3">
      <c r="A239" t="s">
        <v>548</v>
      </c>
      <c r="B239" t="s">
        <v>174</v>
      </c>
      <c r="C239" t="s">
        <v>1382</v>
      </c>
      <c r="D239" t="s">
        <v>1383</v>
      </c>
      <c r="E239" t="s">
        <v>1384</v>
      </c>
      <c r="F239" t="s">
        <v>638</v>
      </c>
      <c r="G239" t="s">
        <v>554</v>
      </c>
      <c r="H239" t="s">
        <v>554</v>
      </c>
      <c r="I239" t="s">
        <v>78</v>
      </c>
    </row>
    <row r="240" spans="1:9" ht="11.25" customHeight="1" x14ac:dyDescent="0.3">
      <c r="A240" t="s">
        <v>548</v>
      </c>
      <c r="B240" t="s">
        <v>174</v>
      </c>
      <c r="C240" t="s">
        <v>718</v>
      </c>
      <c r="D240" t="s">
        <v>719</v>
      </c>
      <c r="E240" t="s">
        <v>720</v>
      </c>
      <c r="F240" t="s">
        <v>721</v>
      </c>
      <c r="G240" t="s">
        <v>722</v>
      </c>
      <c r="H240" t="s">
        <v>554</v>
      </c>
      <c r="I240" t="s">
        <v>78</v>
      </c>
    </row>
    <row r="241" spans="1:9" ht="11.25" customHeight="1" x14ac:dyDescent="0.3">
      <c r="A241" t="s">
        <v>548</v>
      </c>
      <c r="B241" t="s">
        <v>174</v>
      </c>
      <c r="C241" t="s">
        <v>1385</v>
      </c>
      <c r="D241" t="s">
        <v>1386</v>
      </c>
      <c r="E241" t="s">
        <v>1387</v>
      </c>
      <c r="F241" t="s">
        <v>638</v>
      </c>
      <c r="G241" t="s">
        <v>554</v>
      </c>
      <c r="H241" t="s">
        <v>554</v>
      </c>
      <c r="I241" t="s">
        <v>78</v>
      </c>
    </row>
    <row r="242" spans="1:9" ht="11.25" customHeight="1" x14ac:dyDescent="0.3">
      <c r="A242" t="s">
        <v>548</v>
      </c>
      <c r="B242" t="s">
        <v>174</v>
      </c>
      <c r="C242" t="s">
        <v>723</v>
      </c>
      <c r="D242" t="s">
        <v>724</v>
      </c>
      <c r="E242" t="s">
        <v>725</v>
      </c>
      <c r="F242" t="s">
        <v>638</v>
      </c>
      <c r="G242" t="s">
        <v>726</v>
      </c>
      <c r="H242" t="s">
        <v>554</v>
      </c>
      <c r="I242" t="s">
        <v>78</v>
      </c>
    </row>
    <row r="243" spans="1:9" ht="11.25" customHeight="1" x14ac:dyDescent="0.3">
      <c r="A243" t="s">
        <v>548</v>
      </c>
      <c r="B243" t="s">
        <v>174</v>
      </c>
      <c r="C243" t="s">
        <v>727</v>
      </c>
      <c r="D243" t="s">
        <v>728</v>
      </c>
      <c r="E243" t="s">
        <v>729</v>
      </c>
      <c r="F243" t="s">
        <v>567</v>
      </c>
      <c r="G243" t="s">
        <v>730</v>
      </c>
      <c r="H243" t="s">
        <v>554</v>
      </c>
      <c r="I243" t="s">
        <v>78</v>
      </c>
    </row>
    <row r="244" spans="1:9" ht="11.25" customHeight="1" x14ac:dyDescent="0.3">
      <c r="A244" t="s">
        <v>548</v>
      </c>
      <c r="B244" t="s">
        <v>174</v>
      </c>
      <c r="C244" t="s">
        <v>731</v>
      </c>
      <c r="D244" t="s">
        <v>732</v>
      </c>
      <c r="E244" t="s">
        <v>733</v>
      </c>
      <c r="F244" t="s">
        <v>567</v>
      </c>
      <c r="G244" t="s">
        <v>734</v>
      </c>
      <c r="H244" t="s">
        <v>554</v>
      </c>
      <c r="I244" t="s">
        <v>78</v>
      </c>
    </row>
    <row r="245" spans="1:9" ht="11.25" customHeight="1" x14ac:dyDescent="0.3">
      <c r="A245" t="s">
        <v>548</v>
      </c>
      <c r="B245" t="s">
        <v>174</v>
      </c>
      <c r="C245" t="s">
        <v>1388</v>
      </c>
      <c r="D245" t="s">
        <v>1389</v>
      </c>
      <c r="E245" t="s">
        <v>1390</v>
      </c>
      <c r="F245" t="s">
        <v>638</v>
      </c>
      <c r="G245" t="s">
        <v>1391</v>
      </c>
      <c r="H245" t="s">
        <v>554</v>
      </c>
      <c r="I245" t="s">
        <v>78</v>
      </c>
    </row>
    <row r="246" spans="1:9" ht="11.25" customHeight="1" x14ac:dyDescent="0.3">
      <c r="A246" t="s">
        <v>548</v>
      </c>
      <c r="B246" t="s">
        <v>174</v>
      </c>
      <c r="C246" t="s">
        <v>739</v>
      </c>
      <c r="D246" t="s">
        <v>740</v>
      </c>
      <c r="E246" t="s">
        <v>741</v>
      </c>
      <c r="F246" t="s">
        <v>567</v>
      </c>
      <c r="G246" t="s">
        <v>742</v>
      </c>
      <c r="H246" t="s">
        <v>554</v>
      </c>
      <c r="I246" t="s">
        <v>78</v>
      </c>
    </row>
    <row r="247" spans="1:9" ht="11.25" customHeight="1" x14ac:dyDescent="0.3">
      <c r="A247" t="s">
        <v>548</v>
      </c>
      <c r="B247" t="s">
        <v>174</v>
      </c>
      <c r="C247" t="s">
        <v>1392</v>
      </c>
      <c r="D247" t="s">
        <v>1393</v>
      </c>
      <c r="E247" t="s">
        <v>1394</v>
      </c>
      <c r="F247" t="s">
        <v>638</v>
      </c>
      <c r="G247" t="s">
        <v>1395</v>
      </c>
      <c r="H247" t="s">
        <v>554</v>
      </c>
      <c r="I247" t="s">
        <v>78</v>
      </c>
    </row>
    <row r="248" spans="1:9" ht="11.25" customHeight="1" x14ac:dyDescent="0.3">
      <c r="A248" t="s">
        <v>548</v>
      </c>
      <c r="B248" t="s">
        <v>174</v>
      </c>
      <c r="C248" t="s">
        <v>743</v>
      </c>
      <c r="D248" t="s">
        <v>744</v>
      </c>
      <c r="E248" t="s">
        <v>745</v>
      </c>
      <c r="F248" t="s">
        <v>709</v>
      </c>
      <c r="G248" t="s">
        <v>746</v>
      </c>
      <c r="H248" t="s">
        <v>554</v>
      </c>
      <c r="I248" t="s">
        <v>78</v>
      </c>
    </row>
    <row r="249" spans="1:9" ht="11.25" customHeight="1" x14ac:dyDescent="0.3">
      <c r="A249" t="s">
        <v>548</v>
      </c>
      <c r="B249" t="s">
        <v>174</v>
      </c>
      <c r="C249" t="s">
        <v>750</v>
      </c>
      <c r="D249" t="s">
        <v>751</v>
      </c>
      <c r="E249" t="s">
        <v>752</v>
      </c>
      <c r="F249" t="s">
        <v>638</v>
      </c>
      <c r="G249" t="s">
        <v>554</v>
      </c>
      <c r="H249" t="s">
        <v>554</v>
      </c>
      <c r="I249" t="s">
        <v>78</v>
      </c>
    </row>
    <row r="250" spans="1:9" ht="11.25" customHeight="1" x14ac:dyDescent="0.3">
      <c r="A250" t="s">
        <v>548</v>
      </c>
      <c r="B250" t="s">
        <v>174</v>
      </c>
      <c r="C250" t="s">
        <v>753</v>
      </c>
      <c r="D250" t="s">
        <v>754</v>
      </c>
      <c r="E250" t="s">
        <v>755</v>
      </c>
      <c r="F250" t="s">
        <v>756</v>
      </c>
      <c r="G250" t="s">
        <v>757</v>
      </c>
      <c r="H250" t="s">
        <v>554</v>
      </c>
      <c r="I250" t="s">
        <v>78</v>
      </c>
    </row>
    <row r="251" spans="1:9" ht="11.25" customHeight="1" x14ac:dyDescent="0.3">
      <c r="A251" t="s">
        <v>548</v>
      </c>
      <c r="B251" t="s">
        <v>174</v>
      </c>
      <c r="C251" t="s">
        <v>758</v>
      </c>
      <c r="D251" t="s">
        <v>759</v>
      </c>
      <c r="E251" t="s">
        <v>760</v>
      </c>
      <c r="F251" t="s">
        <v>761</v>
      </c>
      <c r="G251" t="s">
        <v>762</v>
      </c>
      <c r="H251" t="s">
        <v>554</v>
      </c>
      <c r="I251" t="s">
        <v>78</v>
      </c>
    </row>
    <row r="252" spans="1:9" ht="11.25" customHeight="1" x14ac:dyDescent="0.3">
      <c r="A252" t="s">
        <v>548</v>
      </c>
      <c r="B252" t="s">
        <v>174</v>
      </c>
      <c r="C252" t="s">
        <v>763</v>
      </c>
      <c r="D252" t="s">
        <v>764</v>
      </c>
      <c r="E252" t="s">
        <v>765</v>
      </c>
      <c r="F252" t="s">
        <v>766</v>
      </c>
      <c r="G252" t="s">
        <v>554</v>
      </c>
      <c r="H252" t="s">
        <v>554</v>
      </c>
      <c r="I252" t="s">
        <v>78</v>
      </c>
    </row>
    <row r="253" spans="1:9" ht="11.25" customHeight="1" x14ac:dyDescent="0.3">
      <c r="A253" t="s">
        <v>548</v>
      </c>
      <c r="B253" t="s">
        <v>174</v>
      </c>
      <c r="C253" t="s">
        <v>1396</v>
      </c>
      <c r="D253" t="s">
        <v>1397</v>
      </c>
      <c r="E253" t="s">
        <v>1398</v>
      </c>
      <c r="F253" t="s">
        <v>766</v>
      </c>
      <c r="G253" t="s">
        <v>1399</v>
      </c>
      <c r="H253" t="s">
        <v>554</v>
      </c>
      <c r="I253" t="s">
        <v>78</v>
      </c>
    </row>
    <row r="254" spans="1:9" ht="11.25" customHeight="1" x14ac:dyDescent="0.3">
      <c r="A254" t="s">
        <v>548</v>
      </c>
      <c r="B254" t="s">
        <v>174</v>
      </c>
      <c r="C254" t="s">
        <v>1400</v>
      </c>
      <c r="D254" t="s">
        <v>1401</v>
      </c>
      <c r="E254" t="s">
        <v>1402</v>
      </c>
      <c r="F254" t="s">
        <v>873</v>
      </c>
      <c r="G254" t="s">
        <v>874</v>
      </c>
      <c r="H254" t="s">
        <v>554</v>
      </c>
      <c r="I254" t="s">
        <v>78</v>
      </c>
    </row>
    <row r="255" spans="1:9" ht="11.25" customHeight="1" x14ac:dyDescent="0.3">
      <c r="A255" t="s">
        <v>548</v>
      </c>
      <c r="B255" t="s">
        <v>174</v>
      </c>
      <c r="C255" t="s">
        <v>767</v>
      </c>
      <c r="D255" t="s">
        <v>768</v>
      </c>
      <c r="E255" t="s">
        <v>769</v>
      </c>
      <c r="F255" t="s">
        <v>596</v>
      </c>
      <c r="G255" t="s">
        <v>770</v>
      </c>
      <c r="H255" t="s">
        <v>554</v>
      </c>
      <c r="I255" t="s">
        <v>78</v>
      </c>
    </row>
    <row r="256" spans="1:9" ht="11.25" customHeight="1" x14ac:dyDescent="0.3">
      <c r="A256" t="s">
        <v>548</v>
      </c>
      <c r="B256" t="s">
        <v>174</v>
      </c>
      <c r="C256" t="s">
        <v>1403</v>
      </c>
      <c r="D256" t="s">
        <v>1404</v>
      </c>
      <c r="E256" t="s">
        <v>1405</v>
      </c>
      <c r="F256" t="s">
        <v>784</v>
      </c>
      <c r="G256" t="s">
        <v>1406</v>
      </c>
      <c r="H256" t="s">
        <v>554</v>
      </c>
      <c r="I256" t="s">
        <v>78</v>
      </c>
    </row>
    <row r="257" spans="1:9" ht="11.25" customHeight="1" x14ac:dyDescent="0.3">
      <c r="A257" t="s">
        <v>548</v>
      </c>
      <c r="B257" t="s">
        <v>174</v>
      </c>
      <c r="C257" t="s">
        <v>1407</v>
      </c>
      <c r="D257" t="s">
        <v>1404</v>
      </c>
      <c r="E257" t="s">
        <v>1408</v>
      </c>
      <c r="F257" t="s">
        <v>803</v>
      </c>
      <c r="G257" t="s">
        <v>1409</v>
      </c>
      <c r="H257" t="s">
        <v>554</v>
      </c>
      <c r="I257" t="s">
        <v>78</v>
      </c>
    </row>
    <row r="258" spans="1:9" ht="11.25" customHeight="1" x14ac:dyDescent="0.3">
      <c r="A258" t="s">
        <v>548</v>
      </c>
      <c r="B258" t="s">
        <v>174</v>
      </c>
      <c r="C258" t="s">
        <v>1410</v>
      </c>
      <c r="D258" t="s">
        <v>1411</v>
      </c>
      <c r="E258" t="s">
        <v>1412</v>
      </c>
      <c r="F258" t="s">
        <v>918</v>
      </c>
      <c r="G258" t="s">
        <v>1413</v>
      </c>
      <c r="H258" t="s">
        <v>554</v>
      </c>
      <c r="I258" t="s">
        <v>78</v>
      </c>
    </row>
    <row r="259" spans="1:9" ht="11.25" customHeight="1" x14ac:dyDescent="0.3">
      <c r="A259" t="s">
        <v>548</v>
      </c>
      <c r="B259" t="s">
        <v>174</v>
      </c>
      <c r="C259" t="s">
        <v>1414</v>
      </c>
      <c r="D259" t="s">
        <v>1415</v>
      </c>
      <c r="E259" t="s">
        <v>1416</v>
      </c>
      <c r="F259" t="s">
        <v>638</v>
      </c>
      <c r="G259" t="s">
        <v>1417</v>
      </c>
      <c r="H259" t="s">
        <v>554</v>
      </c>
      <c r="I259" t="s">
        <v>78</v>
      </c>
    </row>
    <row r="260" spans="1:9" ht="11.25" customHeight="1" x14ac:dyDescent="0.3">
      <c r="A260" t="s">
        <v>548</v>
      </c>
      <c r="B260" t="s">
        <v>174</v>
      </c>
      <c r="C260" t="s">
        <v>771</v>
      </c>
      <c r="D260" t="s">
        <v>772</v>
      </c>
      <c r="E260" t="s">
        <v>773</v>
      </c>
      <c r="F260" t="s">
        <v>638</v>
      </c>
      <c r="G260" t="s">
        <v>554</v>
      </c>
      <c r="H260" t="s">
        <v>554</v>
      </c>
      <c r="I260" t="s">
        <v>78</v>
      </c>
    </row>
    <row r="261" spans="1:9" ht="11.25" customHeight="1" x14ac:dyDescent="0.3">
      <c r="A261" t="s">
        <v>548</v>
      </c>
      <c r="B261" t="s">
        <v>174</v>
      </c>
      <c r="C261" t="s">
        <v>1418</v>
      </c>
      <c r="D261" t="s">
        <v>1419</v>
      </c>
      <c r="E261" t="s">
        <v>1420</v>
      </c>
      <c r="F261" t="s">
        <v>638</v>
      </c>
      <c r="G261" t="s">
        <v>554</v>
      </c>
      <c r="H261" t="s">
        <v>554</v>
      </c>
      <c r="I261" t="s">
        <v>78</v>
      </c>
    </row>
    <row r="262" spans="1:9" ht="11.25" customHeight="1" x14ac:dyDescent="0.3">
      <c r="A262" t="s">
        <v>548</v>
      </c>
      <c r="B262" t="s">
        <v>174</v>
      </c>
      <c r="C262" t="s">
        <v>1421</v>
      </c>
      <c r="D262" t="s">
        <v>1422</v>
      </c>
      <c r="E262" t="s">
        <v>1423</v>
      </c>
      <c r="F262" t="s">
        <v>891</v>
      </c>
      <c r="G262" t="s">
        <v>1424</v>
      </c>
      <c r="H262" t="s">
        <v>554</v>
      </c>
      <c r="I262" t="s">
        <v>78</v>
      </c>
    </row>
    <row r="263" spans="1:9" ht="11.25" customHeight="1" x14ac:dyDescent="0.3">
      <c r="A263" t="s">
        <v>548</v>
      </c>
      <c r="B263" t="s">
        <v>174</v>
      </c>
      <c r="C263" t="s">
        <v>774</v>
      </c>
      <c r="D263" t="s">
        <v>775</v>
      </c>
      <c r="E263" t="s">
        <v>776</v>
      </c>
      <c r="F263" t="s">
        <v>671</v>
      </c>
      <c r="G263" t="s">
        <v>777</v>
      </c>
      <c r="H263" t="s">
        <v>554</v>
      </c>
      <c r="I263" t="s">
        <v>78</v>
      </c>
    </row>
    <row r="264" spans="1:9" ht="11.25" customHeight="1" x14ac:dyDescent="0.3">
      <c r="A264" t="s">
        <v>548</v>
      </c>
      <c r="B264" t="s">
        <v>174</v>
      </c>
      <c r="C264" t="s">
        <v>1425</v>
      </c>
      <c r="D264" t="s">
        <v>1426</v>
      </c>
      <c r="E264" t="s">
        <v>1427</v>
      </c>
      <c r="F264" t="s">
        <v>766</v>
      </c>
      <c r="G264" t="s">
        <v>554</v>
      </c>
      <c r="H264" t="s">
        <v>554</v>
      </c>
      <c r="I264" t="s">
        <v>78</v>
      </c>
    </row>
    <row r="265" spans="1:9" ht="11.25" customHeight="1" x14ac:dyDescent="0.3">
      <c r="A265" t="s">
        <v>548</v>
      </c>
      <c r="B265" t="s">
        <v>174</v>
      </c>
      <c r="C265" t="s">
        <v>778</v>
      </c>
      <c r="D265" t="s">
        <v>779</v>
      </c>
      <c r="E265" t="s">
        <v>780</v>
      </c>
      <c r="F265" t="s">
        <v>638</v>
      </c>
      <c r="G265" t="s">
        <v>554</v>
      </c>
      <c r="H265" t="s">
        <v>554</v>
      </c>
      <c r="I265" t="s">
        <v>78</v>
      </c>
    </row>
    <row r="266" spans="1:9" ht="11.25" customHeight="1" x14ac:dyDescent="0.3">
      <c r="A266" t="s">
        <v>548</v>
      </c>
      <c r="B266" t="s">
        <v>174</v>
      </c>
      <c r="C266" t="s">
        <v>1428</v>
      </c>
      <c r="D266" t="s">
        <v>1429</v>
      </c>
      <c r="E266" t="s">
        <v>1430</v>
      </c>
      <c r="F266" t="s">
        <v>756</v>
      </c>
      <c r="G266" t="s">
        <v>1431</v>
      </c>
      <c r="H266" t="s">
        <v>554</v>
      </c>
      <c r="I266" t="s">
        <v>78</v>
      </c>
    </row>
    <row r="267" spans="1:9" ht="11.25" customHeight="1" x14ac:dyDescent="0.3">
      <c r="A267" t="s">
        <v>548</v>
      </c>
      <c r="B267" t="s">
        <v>174</v>
      </c>
      <c r="C267" t="s">
        <v>781</v>
      </c>
      <c r="D267" t="s">
        <v>782</v>
      </c>
      <c r="E267" t="s">
        <v>783</v>
      </c>
      <c r="F267" t="s">
        <v>784</v>
      </c>
      <c r="G267" t="s">
        <v>785</v>
      </c>
      <c r="H267" t="s">
        <v>554</v>
      </c>
      <c r="I267" t="s">
        <v>78</v>
      </c>
    </row>
    <row r="268" spans="1:9" ht="11.25" customHeight="1" x14ac:dyDescent="0.3">
      <c r="A268" t="s">
        <v>548</v>
      </c>
      <c r="B268" t="s">
        <v>174</v>
      </c>
      <c r="C268" t="s">
        <v>789</v>
      </c>
      <c r="D268" t="s">
        <v>790</v>
      </c>
      <c r="E268" t="s">
        <v>791</v>
      </c>
      <c r="F268" t="s">
        <v>784</v>
      </c>
      <c r="G268" t="s">
        <v>554</v>
      </c>
      <c r="H268" t="s">
        <v>554</v>
      </c>
      <c r="I268" t="s">
        <v>78</v>
      </c>
    </row>
    <row r="269" spans="1:9" ht="11.25" customHeight="1" x14ac:dyDescent="0.3">
      <c r="A269" t="s">
        <v>548</v>
      </c>
      <c r="B269" t="s">
        <v>174</v>
      </c>
      <c r="C269" t="s">
        <v>792</v>
      </c>
      <c r="D269" t="s">
        <v>790</v>
      </c>
      <c r="E269" t="s">
        <v>793</v>
      </c>
      <c r="F269" t="s">
        <v>794</v>
      </c>
      <c r="G269" t="s">
        <v>795</v>
      </c>
      <c r="H269" t="s">
        <v>554</v>
      </c>
      <c r="I269" t="s">
        <v>78</v>
      </c>
    </row>
    <row r="270" spans="1:9" ht="11.25" customHeight="1" x14ac:dyDescent="0.3">
      <c r="A270" t="s">
        <v>548</v>
      </c>
      <c r="B270" t="s">
        <v>174</v>
      </c>
      <c r="C270" t="s">
        <v>796</v>
      </c>
      <c r="D270" t="s">
        <v>790</v>
      </c>
      <c r="E270" t="s">
        <v>797</v>
      </c>
      <c r="F270" t="s">
        <v>798</v>
      </c>
      <c r="G270" t="s">
        <v>799</v>
      </c>
      <c r="H270" t="s">
        <v>554</v>
      </c>
      <c r="I270" t="s">
        <v>78</v>
      </c>
    </row>
    <row r="271" spans="1:9" ht="11.25" customHeight="1" x14ac:dyDescent="0.3">
      <c r="A271" t="s">
        <v>548</v>
      </c>
      <c r="B271" t="s">
        <v>174</v>
      </c>
      <c r="C271" t="s">
        <v>1432</v>
      </c>
      <c r="D271" t="s">
        <v>1433</v>
      </c>
      <c r="E271" t="s">
        <v>1434</v>
      </c>
      <c r="F271" t="s">
        <v>766</v>
      </c>
      <c r="G271" t="s">
        <v>554</v>
      </c>
      <c r="H271" t="s">
        <v>554</v>
      </c>
      <c r="I271" t="s">
        <v>78</v>
      </c>
    </row>
    <row r="272" spans="1:9" ht="11.25" customHeight="1" x14ac:dyDescent="0.3">
      <c r="A272" t="s">
        <v>548</v>
      </c>
      <c r="B272" t="s">
        <v>174</v>
      </c>
      <c r="C272" t="s">
        <v>800</v>
      </c>
      <c r="D272" t="s">
        <v>801</v>
      </c>
      <c r="E272" t="s">
        <v>802</v>
      </c>
      <c r="F272" t="s">
        <v>803</v>
      </c>
      <c r="G272" t="s">
        <v>804</v>
      </c>
      <c r="H272" t="s">
        <v>554</v>
      </c>
      <c r="I272" t="s">
        <v>78</v>
      </c>
    </row>
    <row r="273" spans="1:9" ht="11.25" customHeight="1" x14ac:dyDescent="0.3">
      <c r="A273" t="s">
        <v>548</v>
      </c>
      <c r="B273" t="s">
        <v>174</v>
      </c>
      <c r="C273" t="s">
        <v>1435</v>
      </c>
      <c r="D273" t="s">
        <v>1436</v>
      </c>
      <c r="E273" t="s">
        <v>1437</v>
      </c>
      <c r="F273" t="s">
        <v>596</v>
      </c>
      <c r="G273" t="s">
        <v>1438</v>
      </c>
      <c r="H273" t="s">
        <v>554</v>
      </c>
      <c r="I273" t="s">
        <v>78</v>
      </c>
    </row>
    <row r="274" spans="1:9" ht="11.25" customHeight="1" x14ac:dyDescent="0.3">
      <c r="A274" t="s">
        <v>548</v>
      </c>
      <c r="B274" t="s">
        <v>174</v>
      </c>
      <c r="C274" t="s">
        <v>814</v>
      </c>
      <c r="D274" t="s">
        <v>815</v>
      </c>
      <c r="E274" t="s">
        <v>816</v>
      </c>
      <c r="F274" t="s">
        <v>761</v>
      </c>
      <c r="G274" t="s">
        <v>762</v>
      </c>
      <c r="H274" t="s">
        <v>554</v>
      </c>
      <c r="I274" t="s">
        <v>78</v>
      </c>
    </row>
    <row r="275" spans="1:9" ht="11.25" customHeight="1" x14ac:dyDescent="0.3">
      <c r="A275" t="s">
        <v>548</v>
      </c>
      <c r="B275" t="s">
        <v>174</v>
      </c>
      <c r="C275" t="s">
        <v>822</v>
      </c>
      <c r="D275" t="s">
        <v>823</v>
      </c>
      <c r="E275" t="s">
        <v>824</v>
      </c>
      <c r="F275" t="s">
        <v>825</v>
      </c>
      <c r="G275" t="s">
        <v>826</v>
      </c>
      <c r="H275" t="s">
        <v>554</v>
      </c>
      <c r="I275" t="s">
        <v>78</v>
      </c>
    </row>
    <row r="276" spans="1:9" ht="11.25" customHeight="1" x14ac:dyDescent="0.3">
      <c r="A276" t="s">
        <v>548</v>
      </c>
      <c r="B276" t="s">
        <v>174</v>
      </c>
      <c r="C276" t="s">
        <v>1439</v>
      </c>
      <c r="D276" t="s">
        <v>1440</v>
      </c>
      <c r="E276" t="s">
        <v>1441</v>
      </c>
      <c r="F276" t="s">
        <v>803</v>
      </c>
      <c r="G276" t="s">
        <v>1442</v>
      </c>
      <c r="H276" t="s">
        <v>554</v>
      </c>
      <c r="I276" t="s">
        <v>78</v>
      </c>
    </row>
    <row r="277" spans="1:9" ht="11.25" customHeight="1" x14ac:dyDescent="0.3">
      <c r="A277" t="s">
        <v>548</v>
      </c>
      <c r="B277" t="s">
        <v>174</v>
      </c>
      <c r="C277" t="s">
        <v>1443</v>
      </c>
      <c r="D277" t="s">
        <v>1444</v>
      </c>
      <c r="E277" t="s">
        <v>1445</v>
      </c>
      <c r="F277" t="s">
        <v>638</v>
      </c>
      <c r="G277" t="s">
        <v>1446</v>
      </c>
      <c r="H277" t="s">
        <v>554</v>
      </c>
      <c r="I277" t="s">
        <v>78</v>
      </c>
    </row>
    <row r="278" spans="1:9" ht="11.25" customHeight="1" x14ac:dyDescent="0.3">
      <c r="A278" t="s">
        <v>548</v>
      </c>
      <c r="B278" t="s">
        <v>174</v>
      </c>
      <c r="C278" t="s">
        <v>1447</v>
      </c>
      <c r="D278" t="s">
        <v>1448</v>
      </c>
      <c r="E278" t="s">
        <v>1449</v>
      </c>
      <c r="F278" t="s">
        <v>638</v>
      </c>
      <c r="G278" t="s">
        <v>554</v>
      </c>
      <c r="H278" t="s">
        <v>554</v>
      </c>
      <c r="I278" t="s">
        <v>78</v>
      </c>
    </row>
    <row r="279" spans="1:9" ht="11.25" customHeight="1" x14ac:dyDescent="0.3">
      <c r="A279" t="s">
        <v>548</v>
      </c>
      <c r="B279" t="s">
        <v>174</v>
      </c>
      <c r="C279" t="s">
        <v>1450</v>
      </c>
      <c r="D279" t="s">
        <v>1451</v>
      </c>
      <c r="E279" t="s">
        <v>1452</v>
      </c>
      <c r="F279" t="s">
        <v>596</v>
      </c>
      <c r="G279" t="s">
        <v>554</v>
      </c>
      <c r="H279" t="s">
        <v>554</v>
      </c>
      <c r="I279" t="s">
        <v>78</v>
      </c>
    </row>
    <row r="280" spans="1:9" ht="11.25" customHeight="1" x14ac:dyDescent="0.3">
      <c r="A280" t="s">
        <v>548</v>
      </c>
      <c r="B280" t="s">
        <v>174</v>
      </c>
      <c r="C280" t="s">
        <v>841</v>
      </c>
      <c r="D280" t="s">
        <v>842</v>
      </c>
      <c r="E280" t="s">
        <v>843</v>
      </c>
      <c r="F280" t="s">
        <v>705</v>
      </c>
      <c r="G280" t="s">
        <v>844</v>
      </c>
      <c r="H280" t="s">
        <v>554</v>
      </c>
      <c r="I280" t="s">
        <v>78</v>
      </c>
    </row>
    <row r="281" spans="1:9" ht="11.25" customHeight="1" x14ac:dyDescent="0.3">
      <c r="A281" t="s">
        <v>548</v>
      </c>
      <c r="B281" t="s">
        <v>174</v>
      </c>
      <c r="C281" t="s">
        <v>1453</v>
      </c>
      <c r="D281" t="s">
        <v>1454</v>
      </c>
      <c r="E281" t="s">
        <v>1455</v>
      </c>
      <c r="F281" t="s">
        <v>794</v>
      </c>
      <c r="G281" t="s">
        <v>1456</v>
      </c>
      <c r="H281" t="s">
        <v>554</v>
      </c>
      <c r="I281" t="s">
        <v>78</v>
      </c>
    </row>
    <row r="282" spans="1:9" ht="11.25" customHeight="1" x14ac:dyDescent="0.3">
      <c r="A282" t="s">
        <v>548</v>
      </c>
      <c r="B282" t="s">
        <v>174</v>
      </c>
      <c r="C282" t="s">
        <v>1457</v>
      </c>
      <c r="D282" t="s">
        <v>1458</v>
      </c>
      <c r="E282" t="s">
        <v>1459</v>
      </c>
      <c r="F282" t="s">
        <v>638</v>
      </c>
      <c r="G282" t="s">
        <v>1460</v>
      </c>
      <c r="H282" t="s">
        <v>554</v>
      </c>
      <c r="I282" t="s">
        <v>78</v>
      </c>
    </row>
    <row r="283" spans="1:9" ht="11.25" customHeight="1" x14ac:dyDescent="0.3">
      <c r="A283" t="s">
        <v>548</v>
      </c>
      <c r="B283" t="s">
        <v>174</v>
      </c>
      <c r="C283" t="s">
        <v>858</v>
      </c>
      <c r="D283" t="s">
        <v>859</v>
      </c>
      <c r="E283" t="s">
        <v>860</v>
      </c>
      <c r="F283" t="s">
        <v>761</v>
      </c>
      <c r="G283" t="s">
        <v>861</v>
      </c>
      <c r="H283" t="s">
        <v>554</v>
      </c>
      <c r="I283" t="s">
        <v>78</v>
      </c>
    </row>
    <row r="284" spans="1:9" ht="11.25" customHeight="1" x14ac:dyDescent="0.3">
      <c r="A284" t="s">
        <v>548</v>
      </c>
      <c r="B284" t="s">
        <v>174</v>
      </c>
      <c r="C284" t="s">
        <v>875</v>
      </c>
      <c r="D284" t="s">
        <v>876</v>
      </c>
      <c r="E284" t="s">
        <v>877</v>
      </c>
      <c r="F284" t="s">
        <v>878</v>
      </c>
      <c r="G284" t="s">
        <v>879</v>
      </c>
      <c r="H284" t="s">
        <v>554</v>
      </c>
      <c r="I284" t="s">
        <v>78</v>
      </c>
    </row>
    <row r="285" spans="1:9" ht="11.25" customHeight="1" x14ac:dyDescent="0.3">
      <c r="A285" t="s">
        <v>548</v>
      </c>
      <c r="B285" t="s">
        <v>174</v>
      </c>
      <c r="C285" t="s">
        <v>893</v>
      </c>
      <c r="D285" t="s">
        <v>894</v>
      </c>
      <c r="E285" t="s">
        <v>895</v>
      </c>
      <c r="F285" t="s">
        <v>761</v>
      </c>
      <c r="G285" t="s">
        <v>896</v>
      </c>
      <c r="H285" t="s">
        <v>554</v>
      </c>
      <c r="I285" t="s">
        <v>78</v>
      </c>
    </row>
    <row r="286" spans="1:9" ht="11.25" customHeight="1" x14ac:dyDescent="0.3">
      <c r="A286" t="s">
        <v>548</v>
      </c>
      <c r="B286" t="s">
        <v>174</v>
      </c>
      <c r="C286" t="s">
        <v>897</v>
      </c>
      <c r="D286" t="s">
        <v>898</v>
      </c>
      <c r="E286" t="s">
        <v>899</v>
      </c>
      <c r="F286" t="s">
        <v>638</v>
      </c>
      <c r="G286" t="s">
        <v>554</v>
      </c>
      <c r="H286" t="s">
        <v>554</v>
      </c>
      <c r="I286" t="s">
        <v>78</v>
      </c>
    </row>
    <row r="287" spans="1:9" ht="11.25" customHeight="1" x14ac:dyDescent="0.3">
      <c r="A287" t="s">
        <v>548</v>
      </c>
      <c r="B287" t="s">
        <v>174</v>
      </c>
      <c r="C287" t="s">
        <v>900</v>
      </c>
      <c r="D287" t="s">
        <v>901</v>
      </c>
      <c r="E287" t="s">
        <v>902</v>
      </c>
      <c r="F287" t="s">
        <v>784</v>
      </c>
      <c r="G287" t="s">
        <v>903</v>
      </c>
      <c r="H287" t="s">
        <v>554</v>
      </c>
      <c r="I287" t="s">
        <v>78</v>
      </c>
    </row>
    <row r="288" spans="1:9" ht="11.25" customHeight="1" x14ac:dyDescent="0.3">
      <c r="A288" t="s">
        <v>548</v>
      </c>
      <c r="B288" t="s">
        <v>174</v>
      </c>
      <c r="C288" t="s">
        <v>1461</v>
      </c>
      <c r="D288" t="s">
        <v>1462</v>
      </c>
      <c r="E288" t="s">
        <v>1463</v>
      </c>
      <c r="F288" t="s">
        <v>878</v>
      </c>
      <c r="G288" t="s">
        <v>1464</v>
      </c>
      <c r="H288" t="s">
        <v>554</v>
      </c>
      <c r="I288" t="s">
        <v>78</v>
      </c>
    </row>
    <row r="289" spans="1:9" ht="11.25" customHeight="1" x14ac:dyDescent="0.3">
      <c r="A289" t="s">
        <v>548</v>
      </c>
      <c r="B289" t="s">
        <v>174</v>
      </c>
      <c r="C289" t="s">
        <v>904</v>
      </c>
      <c r="D289" t="s">
        <v>905</v>
      </c>
      <c r="E289" t="s">
        <v>906</v>
      </c>
      <c r="F289" t="s">
        <v>700</v>
      </c>
      <c r="G289" t="s">
        <v>907</v>
      </c>
      <c r="H289" t="s">
        <v>554</v>
      </c>
      <c r="I289" t="s">
        <v>78</v>
      </c>
    </row>
    <row r="290" spans="1:9" ht="11.25" customHeight="1" x14ac:dyDescent="0.3">
      <c r="A290" t="s">
        <v>548</v>
      </c>
      <c r="B290" t="s">
        <v>174</v>
      </c>
      <c r="C290" t="s">
        <v>1465</v>
      </c>
      <c r="D290" t="s">
        <v>1466</v>
      </c>
      <c r="E290" t="s">
        <v>1467</v>
      </c>
      <c r="F290" t="s">
        <v>918</v>
      </c>
      <c r="G290" t="s">
        <v>554</v>
      </c>
      <c r="H290" t="s">
        <v>554</v>
      </c>
      <c r="I290" t="s">
        <v>78</v>
      </c>
    </row>
    <row r="291" spans="1:9" ht="11.25" customHeight="1" x14ac:dyDescent="0.3">
      <c r="A291" t="s">
        <v>548</v>
      </c>
      <c r="B291" t="s">
        <v>174</v>
      </c>
      <c r="C291" t="s">
        <v>908</v>
      </c>
      <c r="D291" t="s">
        <v>909</v>
      </c>
      <c r="E291" t="s">
        <v>910</v>
      </c>
      <c r="F291" t="s">
        <v>865</v>
      </c>
      <c r="G291" t="s">
        <v>911</v>
      </c>
      <c r="H291" t="s">
        <v>554</v>
      </c>
      <c r="I291" t="s">
        <v>78</v>
      </c>
    </row>
    <row r="292" spans="1:9" ht="11.25" customHeight="1" x14ac:dyDescent="0.3">
      <c r="A292" t="s">
        <v>548</v>
      </c>
      <c r="B292" t="s">
        <v>174</v>
      </c>
      <c r="C292" t="s">
        <v>1468</v>
      </c>
      <c r="D292" t="s">
        <v>1469</v>
      </c>
      <c r="E292" t="s">
        <v>1470</v>
      </c>
      <c r="F292" t="s">
        <v>848</v>
      </c>
      <c r="G292" t="s">
        <v>554</v>
      </c>
      <c r="H292" t="s">
        <v>554</v>
      </c>
      <c r="I292" t="s">
        <v>78</v>
      </c>
    </row>
    <row r="293" spans="1:9" ht="11.25" customHeight="1" x14ac:dyDescent="0.3">
      <c r="A293" t="s">
        <v>548</v>
      </c>
      <c r="B293" t="s">
        <v>174</v>
      </c>
      <c r="C293" t="s">
        <v>912</v>
      </c>
      <c r="D293" t="s">
        <v>913</v>
      </c>
      <c r="E293" t="s">
        <v>914</v>
      </c>
      <c r="F293" t="s">
        <v>721</v>
      </c>
      <c r="G293" t="s">
        <v>554</v>
      </c>
      <c r="H293" t="s">
        <v>554</v>
      </c>
      <c r="I293" t="s">
        <v>78</v>
      </c>
    </row>
    <row r="294" spans="1:9" ht="11.25" customHeight="1" x14ac:dyDescent="0.3">
      <c r="A294" t="s">
        <v>548</v>
      </c>
      <c r="B294" t="s">
        <v>174</v>
      </c>
      <c r="C294" t="s">
        <v>1471</v>
      </c>
      <c r="D294" t="s">
        <v>1472</v>
      </c>
      <c r="E294" t="s">
        <v>1473</v>
      </c>
      <c r="F294" t="s">
        <v>798</v>
      </c>
      <c r="G294" t="s">
        <v>554</v>
      </c>
      <c r="H294" t="s">
        <v>554</v>
      </c>
      <c r="I294" t="s">
        <v>78</v>
      </c>
    </row>
    <row r="295" spans="1:9" ht="11.25" customHeight="1" x14ac:dyDescent="0.3">
      <c r="A295" t="s">
        <v>548</v>
      </c>
      <c r="B295" t="s">
        <v>174</v>
      </c>
      <c r="C295" t="s">
        <v>1474</v>
      </c>
      <c r="D295" t="s">
        <v>1475</v>
      </c>
      <c r="E295" t="s">
        <v>1476</v>
      </c>
      <c r="F295" t="s">
        <v>794</v>
      </c>
      <c r="G295" t="s">
        <v>554</v>
      </c>
      <c r="H295" t="s">
        <v>554</v>
      </c>
      <c r="I295" t="s">
        <v>78</v>
      </c>
    </row>
    <row r="296" spans="1:9" ht="11.25" customHeight="1" x14ac:dyDescent="0.3">
      <c r="A296" t="s">
        <v>548</v>
      </c>
      <c r="B296" t="s">
        <v>174</v>
      </c>
      <c r="C296" t="s">
        <v>924</v>
      </c>
      <c r="D296" t="s">
        <v>925</v>
      </c>
      <c r="E296" t="s">
        <v>926</v>
      </c>
      <c r="F296" t="s">
        <v>761</v>
      </c>
      <c r="G296" t="s">
        <v>554</v>
      </c>
      <c r="H296" t="s">
        <v>554</v>
      </c>
      <c r="I296" t="s">
        <v>78</v>
      </c>
    </row>
    <row r="297" spans="1:9" ht="11.25" customHeight="1" x14ac:dyDescent="0.3">
      <c r="A297" t="s">
        <v>548</v>
      </c>
      <c r="B297" t="s">
        <v>174</v>
      </c>
      <c r="C297" t="s">
        <v>927</v>
      </c>
      <c r="D297" t="s">
        <v>928</v>
      </c>
      <c r="E297" t="s">
        <v>929</v>
      </c>
      <c r="F297" t="s">
        <v>596</v>
      </c>
      <c r="G297" t="s">
        <v>554</v>
      </c>
      <c r="H297" t="s">
        <v>554</v>
      </c>
      <c r="I297" t="s">
        <v>78</v>
      </c>
    </row>
    <row r="298" spans="1:9" ht="11.25" customHeight="1" x14ac:dyDescent="0.3">
      <c r="A298" t="s">
        <v>548</v>
      </c>
      <c r="B298" t="s">
        <v>174</v>
      </c>
      <c r="C298" t="s">
        <v>933</v>
      </c>
      <c r="D298" t="s">
        <v>934</v>
      </c>
      <c r="E298" t="s">
        <v>935</v>
      </c>
      <c r="F298" t="s">
        <v>584</v>
      </c>
      <c r="G298" t="s">
        <v>554</v>
      </c>
      <c r="H298" t="s">
        <v>554</v>
      </c>
      <c r="I298" t="s">
        <v>78</v>
      </c>
    </row>
    <row r="299" spans="1:9" ht="11.25" customHeight="1" x14ac:dyDescent="0.3">
      <c r="A299" t="s">
        <v>548</v>
      </c>
      <c r="B299" t="s">
        <v>174</v>
      </c>
      <c r="C299" t="s">
        <v>936</v>
      </c>
      <c r="D299" t="s">
        <v>937</v>
      </c>
      <c r="E299" t="s">
        <v>938</v>
      </c>
      <c r="F299" t="s">
        <v>588</v>
      </c>
      <c r="G299" t="s">
        <v>554</v>
      </c>
      <c r="H299" t="s">
        <v>554</v>
      </c>
      <c r="I299" t="s">
        <v>78</v>
      </c>
    </row>
    <row r="300" spans="1:9" ht="11.25" customHeight="1" x14ac:dyDescent="0.3">
      <c r="A300" t="s">
        <v>548</v>
      </c>
      <c r="B300" t="s">
        <v>174</v>
      </c>
      <c r="C300" t="s">
        <v>1477</v>
      </c>
      <c r="D300" t="s">
        <v>1478</v>
      </c>
      <c r="E300" t="s">
        <v>1479</v>
      </c>
      <c r="F300" t="s">
        <v>803</v>
      </c>
      <c r="G300" t="s">
        <v>554</v>
      </c>
      <c r="H300" t="s">
        <v>554</v>
      </c>
      <c r="I300" t="s">
        <v>78</v>
      </c>
    </row>
    <row r="301" spans="1:9" ht="11.25" customHeight="1" x14ac:dyDescent="0.3">
      <c r="A301" t="s">
        <v>548</v>
      </c>
      <c r="B301" t="s">
        <v>174</v>
      </c>
      <c r="C301" t="s">
        <v>1480</v>
      </c>
      <c r="D301" t="s">
        <v>1481</v>
      </c>
      <c r="E301" t="s">
        <v>1482</v>
      </c>
      <c r="F301" t="s">
        <v>756</v>
      </c>
      <c r="G301" t="s">
        <v>554</v>
      </c>
      <c r="H301" t="s">
        <v>554</v>
      </c>
      <c r="I301" t="s">
        <v>78</v>
      </c>
    </row>
    <row r="302" spans="1:9" ht="11.25" customHeight="1" x14ac:dyDescent="0.3">
      <c r="A302" t="s">
        <v>548</v>
      </c>
      <c r="B302" t="s">
        <v>174</v>
      </c>
      <c r="C302" t="s">
        <v>943</v>
      </c>
      <c r="D302" t="s">
        <v>944</v>
      </c>
      <c r="E302" t="s">
        <v>945</v>
      </c>
      <c r="F302" t="s">
        <v>873</v>
      </c>
      <c r="G302" t="s">
        <v>946</v>
      </c>
      <c r="H302" t="s">
        <v>554</v>
      </c>
      <c r="I302" t="s">
        <v>78</v>
      </c>
    </row>
    <row r="303" spans="1:9" ht="11.25" customHeight="1" x14ac:dyDescent="0.3">
      <c r="A303" t="s">
        <v>548</v>
      </c>
      <c r="B303" t="s">
        <v>174</v>
      </c>
      <c r="C303" t="s">
        <v>954</v>
      </c>
      <c r="D303" t="s">
        <v>955</v>
      </c>
      <c r="E303" t="s">
        <v>956</v>
      </c>
      <c r="F303" t="s">
        <v>567</v>
      </c>
      <c r="G303" t="s">
        <v>957</v>
      </c>
      <c r="H303" t="s">
        <v>554</v>
      </c>
      <c r="I303" t="s">
        <v>78</v>
      </c>
    </row>
    <row r="304" spans="1:9" ht="11.25" customHeight="1" x14ac:dyDescent="0.3">
      <c r="A304" t="s">
        <v>548</v>
      </c>
      <c r="B304" t="s">
        <v>174</v>
      </c>
      <c r="C304" t="s">
        <v>1483</v>
      </c>
      <c r="D304" t="s">
        <v>1484</v>
      </c>
      <c r="E304" t="s">
        <v>1485</v>
      </c>
      <c r="F304" t="s">
        <v>584</v>
      </c>
      <c r="G304" t="s">
        <v>1486</v>
      </c>
      <c r="H304" t="s">
        <v>554</v>
      </c>
      <c r="I304" t="s">
        <v>78</v>
      </c>
    </row>
    <row r="305" spans="1:9" ht="11.25" customHeight="1" x14ac:dyDescent="0.3">
      <c r="A305" t="s">
        <v>548</v>
      </c>
      <c r="B305" t="s">
        <v>174</v>
      </c>
      <c r="C305" t="s">
        <v>1487</v>
      </c>
      <c r="D305" t="s">
        <v>1488</v>
      </c>
      <c r="E305" t="s">
        <v>1489</v>
      </c>
      <c r="F305" t="s">
        <v>825</v>
      </c>
      <c r="G305" t="s">
        <v>554</v>
      </c>
      <c r="H305" t="s">
        <v>554</v>
      </c>
      <c r="I305" t="s">
        <v>78</v>
      </c>
    </row>
    <row r="306" spans="1:9" ht="11.25" customHeight="1" x14ac:dyDescent="0.3">
      <c r="A306" t="s">
        <v>548</v>
      </c>
      <c r="B306" t="s">
        <v>174</v>
      </c>
      <c r="C306" t="s">
        <v>1490</v>
      </c>
      <c r="D306" t="s">
        <v>1491</v>
      </c>
      <c r="E306" t="s">
        <v>1492</v>
      </c>
      <c r="F306" t="s">
        <v>756</v>
      </c>
      <c r="G306" t="s">
        <v>554</v>
      </c>
      <c r="H306" t="s">
        <v>554</v>
      </c>
      <c r="I306" t="s">
        <v>78</v>
      </c>
    </row>
    <row r="307" spans="1:9" ht="11.25" customHeight="1" x14ac:dyDescent="0.3">
      <c r="A307" t="s">
        <v>548</v>
      </c>
      <c r="B307" t="s">
        <v>174</v>
      </c>
      <c r="C307" t="s">
        <v>1493</v>
      </c>
      <c r="D307" t="s">
        <v>1491</v>
      </c>
      <c r="E307" t="s">
        <v>1494</v>
      </c>
      <c r="F307" t="s">
        <v>756</v>
      </c>
      <c r="G307" t="s">
        <v>1495</v>
      </c>
      <c r="H307" t="s">
        <v>554</v>
      </c>
      <c r="I307" t="s">
        <v>78</v>
      </c>
    </row>
    <row r="308" spans="1:9" ht="11.25" customHeight="1" x14ac:dyDescent="0.3">
      <c r="A308" t="s">
        <v>548</v>
      </c>
      <c r="B308" t="s">
        <v>174</v>
      </c>
      <c r="C308" t="s">
        <v>1496</v>
      </c>
      <c r="D308" t="s">
        <v>1491</v>
      </c>
      <c r="E308" t="s">
        <v>1497</v>
      </c>
      <c r="F308" t="s">
        <v>891</v>
      </c>
      <c r="G308" t="s">
        <v>554</v>
      </c>
      <c r="H308" t="s">
        <v>554</v>
      </c>
      <c r="I308" t="s">
        <v>78</v>
      </c>
    </row>
    <row r="309" spans="1:9" ht="11.25" customHeight="1" x14ac:dyDescent="0.3">
      <c r="A309" t="s">
        <v>548</v>
      </c>
      <c r="B309" t="s">
        <v>174</v>
      </c>
      <c r="C309" t="s">
        <v>1498</v>
      </c>
      <c r="D309" t="s">
        <v>1499</v>
      </c>
      <c r="E309" t="s">
        <v>1500</v>
      </c>
      <c r="F309" t="s">
        <v>671</v>
      </c>
      <c r="G309" t="s">
        <v>554</v>
      </c>
      <c r="H309" t="s">
        <v>554</v>
      </c>
      <c r="I309" t="s">
        <v>78</v>
      </c>
    </row>
    <row r="310" spans="1:9" ht="11.25" customHeight="1" x14ac:dyDescent="0.3">
      <c r="A310" t="s">
        <v>548</v>
      </c>
      <c r="B310" t="s">
        <v>174</v>
      </c>
      <c r="C310" t="s">
        <v>1501</v>
      </c>
      <c r="D310" t="s">
        <v>1499</v>
      </c>
      <c r="E310" t="s">
        <v>1502</v>
      </c>
      <c r="F310" t="s">
        <v>918</v>
      </c>
      <c r="G310" t="s">
        <v>554</v>
      </c>
      <c r="H310" t="s">
        <v>554</v>
      </c>
      <c r="I310" t="s">
        <v>78</v>
      </c>
    </row>
    <row r="311" spans="1:9" ht="11.25" customHeight="1" x14ac:dyDescent="0.3">
      <c r="A311" t="s">
        <v>548</v>
      </c>
      <c r="B311" t="s">
        <v>174</v>
      </c>
      <c r="C311" t="s">
        <v>1503</v>
      </c>
      <c r="D311" t="s">
        <v>1499</v>
      </c>
      <c r="E311" t="s">
        <v>1504</v>
      </c>
      <c r="F311" t="s">
        <v>766</v>
      </c>
      <c r="G311" t="s">
        <v>554</v>
      </c>
      <c r="H311" t="s">
        <v>554</v>
      </c>
      <c r="I311" t="s">
        <v>78</v>
      </c>
    </row>
    <row r="312" spans="1:9" ht="11.25" customHeight="1" x14ac:dyDescent="0.3">
      <c r="A312" t="s">
        <v>548</v>
      </c>
      <c r="B312" t="s">
        <v>174</v>
      </c>
      <c r="C312" t="s">
        <v>1505</v>
      </c>
      <c r="D312" t="s">
        <v>1499</v>
      </c>
      <c r="E312" t="s">
        <v>1506</v>
      </c>
      <c r="F312" t="s">
        <v>721</v>
      </c>
      <c r="G312" t="s">
        <v>554</v>
      </c>
      <c r="H312" t="s">
        <v>554</v>
      </c>
      <c r="I312" t="s">
        <v>78</v>
      </c>
    </row>
    <row r="313" spans="1:9" ht="11.25" customHeight="1" x14ac:dyDescent="0.3">
      <c r="A313" t="s">
        <v>548</v>
      </c>
      <c r="B313" t="s">
        <v>174</v>
      </c>
      <c r="C313" t="s">
        <v>1507</v>
      </c>
      <c r="D313" t="s">
        <v>1508</v>
      </c>
      <c r="E313" t="s">
        <v>1509</v>
      </c>
      <c r="F313" t="s">
        <v>596</v>
      </c>
      <c r="G313" t="s">
        <v>1510</v>
      </c>
      <c r="H313" t="s">
        <v>554</v>
      </c>
      <c r="I313" t="s">
        <v>78</v>
      </c>
    </row>
    <row r="314" spans="1:9" ht="11.25" customHeight="1" x14ac:dyDescent="0.3">
      <c r="A314" t="s">
        <v>548</v>
      </c>
      <c r="B314" t="s">
        <v>174</v>
      </c>
      <c r="C314" t="s">
        <v>1511</v>
      </c>
      <c r="D314" t="s">
        <v>1512</v>
      </c>
      <c r="E314" t="s">
        <v>1513</v>
      </c>
      <c r="F314" t="s">
        <v>596</v>
      </c>
      <c r="G314" t="s">
        <v>554</v>
      </c>
      <c r="H314" t="s">
        <v>554</v>
      </c>
      <c r="I314" t="s">
        <v>78</v>
      </c>
    </row>
    <row r="315" spans="1:9" ht="11.25" customHeight="1" x14ac:dyDescent="0.3">
      <c r="A315" t="s">
        <v>548</v>
      </c>
      <c r="B315" t="s">
        <v>174</v>
      </c>
      <c r="C315" t="s">
        <v>1514</v>
      </c>
      <c r="D315" t="s">
        <v>1515</v>
      </c>
      <c r="E315" t="s">
        <v>1516</v>
      </c>
      <c r="F315" t="s">
        <v>596</v>
      </c>
      <c r="G315" t="s">
        <v>1517</v>
      </c>
      <c r="H315" t="s">
        <v>554</v>
      </c>
      <c r="I315" t="s">
        <v>78</v>
      </c>
    </row>
    <row r="316" spans="1:9" ht="11.25" customHeight="1" x14ac:dyDescent="0.3">
      <c r="A316" t="s">
        <v>548</v>
      </c>
      <c r="B316" t="s">
        <v>174</v>
      </c>
      <c r="C316" t="s">
        <v>976</v>
      </c>
      <c r="D316" t="s">
        <v>977</v>
      </c>
      <c r="E316" t="s">
        <v>978</v>
      </c>
      <c r="F316" t="s">
        <v>567</v>
      </c>
      <c r="G316" t="s">
        <v>554</v>
      </c>
      <c r="H316" t="s">
        <v>554</v>
      </c>
      <c r="I316" t="s">
        <v>78</v>
      </c>
    </row>
    <row r="317" spans="1:9" ht="11.25" customHeight="1" x14ac:dyDescent="0.3">
      <c r="A317" t="s">
        <v>548</v>
      </c>
      <c r="B317" t="s">
        <v>174</v>
      </c>
      <c r="C317" t="s">
        <v>979</v>
      </c>
      <c r="D317" t="s">
        <v>980</v>
      </c>
      <c r="E317" t="s">
        <v>981</v>
      </c>
      <c r="F317" t="s">
        <v>596</v>
      </c>
      <c r="G317" t="s">
        <v>554</v>
      </c>
      <c r="H317" t="s">
        <v>554</v>
      </c>
      <c r="I317" t="s">
        <v>78</v>
      </c>
    </row>
    <row r="318" spans="1:9" ht="11.25" customHeight="1" x14ac:dyDescent="0.3">
      <c r="A318" t="s">
        <v>548</v>
      </c>
      <c r="B318" t="s">
        <v>174</v>
      </c>
      <c r="C318" t="s">
        <v>1518</v>
      </c>
      <c r="D318" t="s">
        <v>1519</v>
      </c>
      <c r="E318" t="s">
        <v>1520</v>
      </c>
      <c r="F318" t="s">
        <v>918</v>
      </c>
      <c r="G318" t="s">
        <v>554</v>
      </c>
      <c r="H318" t="s">
        <v>554</v>
      </c>
      <c r="I318" t="s">
        <v>78</v>
      </c>
    </row>
    <row r="319" spans="1:9" ht="11.25" customHeight="1" x14ac:dyDescent="0.3">
      <c r="A319" t="s">
        <v>548</v>
      </c>
      <c r="B319" t="s">
        <v>174</v>
      </c>
      <c r="C319" t="s">
        <v>994</v>
      </c>
      <c r="D319" t="s">
        <v>995</v>
      </c>
      <c r="E319" t="s">
        <v>996</v>
      </c>
      <c r="F319" t="s">
        <v>572</v>
      </c>
      <c r="G319" t="s">
        <v>554</v>
      </c>
      <c r="H319" t="s">
        <v>554</v>
      </c>
      <c r="I319" t="s">
        <v>78</v>
      </c>
    </row>
    <row r="320" spans="1:9" ht="11.25" customHeight="1" x14ac:dyDescent="0.3">
      <c r="A320" t="s">
        <v>548</v>
      </c>
      <c r="B320" t="s">
        <v>174</v>
      </c>
      <c r="C320" t="s">
        <v>1521</v>
      </c>
      <c r="D320" t="s">
        <v>1522</v>
      </c>
      <c r="E320" t="s">
        <v>1523</v>
      </c>
      <c r="F320" t="s">
        <v>830</v>
      </c>
      <c r="G320" t="s">
        <v>554</v>
      </c>
      <c r="H320" t="s">
        <v>554</v>
      </c>
      <c r="I320" t="s">
        <v>78</v>
      </c>
    </row>
    <row r="321" spans="1:9" ht="11.25" customHeight="1" x14ac:dyDescent="0.3">
      <c r="A321" t="s">
        <v>548</v>
      </c>
      <c r="B321" t="s">
        <v>174</v>
      </c>
      <c r="C321" t="s">
        <v>1524</v>
      </c>
      <c r="D321" t="s">
        <v>1525</v>
      </c>
      <c r="E321" t="s">
        <v>1526</v>
      </c>
      <c r="F321" t="s">
        <v>572</v>
      </c>
      <c r="G321" t="s">
        <v>554</v>
      </c>
      <c r="H321" t="s">
        <v>554</v>
      </c>
      <c r="I321" t="s">
        <v>78</v>
      </c>
    </row>
    <row r="322" spans="1:9" ht="11.25" customHeight="1" x14ac:dyDescent="0.3">
      <c r="A322" t="s">
        <v>548</v>
      </c>
      <c r="B322" t="s">
        <v>174</v>
      </c>
      <c r="C322" t="s">
        <v>1527</v>
      </c>
      <c r="D322" t="s">
        <v>1528</v>
      </c>
      <c r="E322" t="s">
        <v>1529</v>
      </c>
      <c r="F322" t="s">
        <v>756</v>
      </c>
      <c r="G322" t="s">
        <v>1530</v>
      </c>
      <c r="H322" t="s">
        <v>554</v>
      </c>
      <c r="I322" t="s">
        <v>78</v>
      </c>
    </row>
    <row r="323" spans="1:9" ht="11.25" customHeight="1" x14ac:dyDescent="0.3">
      <c r="A323" t="s">
        <v>548</v>
      </c>
      <c r="B323" t="s">
        <v>174</v>
      </c>
      <c r="C323" t="s">
        <v>1531</v>
      </c>
      <c r="D323" t="s">
        <v>1001</v>
      </c>
      <c r="E323" t="s">
        <v>1532</v>
      </c>
      <c r="F323" t="s">
        <v>756</v>
      </c>
      <c r="G323" t="s">
        <v>554</v>
      </c>
      <c r="H323" t="s">
        <v>554</v>
      </c>
      <c r="I323" t="s">
        <v>78</v>
      </c>
    </row>
    <row r="324" spans="1:9" ht="11.25" customHeight="1" x14ac:dyDescent="0.3">
      <c r="A324" t="s">
        <v>548</v>
      </c>
      <c r="B324" t="s">
        <v>174</v>
      </c>
      <c r="C324" t="s">
        <v>1533</v>
      </c>
      <c r="D324" t="s">
        <v>1534</v>
      </c>
      <c r="E324" t="s">
        <v>1535</v>
      </c>
      <c r="F324" t="s">
        <v>756</v>
      </c>
      <c r="G324" t="s">
        <v>554</v>
      </c>
      <c r="H324" t="s">
        <v>554</v>
      </c>
      <c r="I324" t="s">
        <v>78</v>
      </c>
    </row>
    <row r="325" spans="1:9" ht="11.25" customHeight="1" x14ac:dyDescent="0.3">
      <c r="A325" t="s">
        <v>548</v>
      </c>
      <c r="B325" t="s">
        <v>174</v>
      </c>
      <c r="C325" t="s">
        <v>1004</v>
      </c>
      <c r="D325" t="s">
        <v>1005</v>
      </c>
      <c r="E325" t="s">
        <v>1006</v>
      </c>
      <c r="F325" t="s">
        <v>563</v>
      </c>
      <c r="G325" t="s">
        <v>1007</v>
      </c>
      <c r="H325" t="s">
        <v>554</v>
      </c>
      <c r="I325" t="s">
        <v>78</v>
      </c>
    </row>
    <row r="326" spans="1:9" ht="11.25" customHeight="1" x14ac:dyDescent="0.3">
      <c r="A326" t="s">
        <v>548</v>
      </c>
      <c r="B326" t="s">
        <v>174</v>
      </c>
      <c r="C326" t="s">
        <v>1536</v>
      </c>
      <c r="D326" t="s">
        <v>1537</v>
      </c>
      <c r="E326" t="s">
        <v>1538</v>
      </c>
      <c r="F326" t="s">
        <v>576</v>
      </c>
      <c r="G326" t="s">
        <v>554</v>
      </c>
      <c r="H326" t="s">
        <v>554</v>
      </c>
      <c r="I326" t="s">
        <v>78</v>
      </c>
    </row>
    <row r="327" spans="1:9" ht="11.25" customHeight="1" x14ac:dyDescent="0.3">
      <c r="A327" t="s">
        <v>548</v>
      </c>
      <c r="B327" t="s">
        <v>174</v>
      </c>
      <c r="C327" t="s">
        <v>1008</v>
      </c>
      <c r="D327" t="s">
        <v>1009</v>
      </c>
      <c r="E327" t="s">
        <v>1010</v>
      </c>
      <c r="F327" t="s">
        <v>572</v>
      </c>
      <c r="G327" t="s">
        <v>554</v>
      </c>
      <c r="H327" t="s">
        <v>554</v>
      </c>
      <c r="I327" t="s">
        <v>78</v>
      </c>
    </row>
    <row r="328" spans="1:9" ht="11.25" customHeight="1" x14ac:dyDescent="0.3">
      <c r="A328" t="s">
        <v>548</v>
      </c>
      <c r="B328" t="s">
        <v>174</v>
      </c>
      <c r="C328" t="s">
        <v>1539</v>
      </c>
      <c r="D328" t="s">
        <v>1540</v>
      </c>
      <c r="E328" t="s">
        <v>1541</v>
      </c>
      <c r="F328" t="s">
        <v>671</v>
      </c>
      <c r="G328" t="s">
        <v>1542</v>
      </c>
      <c r="H328" t="s">
        <v>554</v>
      </c>
      <c r="I328" t="s">
        <v>78</v>
      </c>
    </row>
    <row r="329" spans="1:9" ht="11.25" customHeight="1" x14ac:dyDescent="0.3">
      <c r="A329" t="s">
        <v>548</v>
      </c>
      <c r="B329" t="s">
        <v>174</v>
      </c>
      <c r="C329" t="s">
        <v>1543</v>
      </c>
      <c r="D329" t="s">
        <v>1544</v>
      </c>
      <c r="E329" t="s">
        <v>1545</v>
      </c>
      <c r="F329" t="s">
        <v>756</v>
      </c>
      <c r="G329" t="s">
        <v>554</v>
      </c>
      <c r="H329" t="s">
        <v>554</v>
      </c>
      <c r="I329" t="s">
        <v>78</v>
      </c>
    </row>
    <row r="330" spans="1:9" ht="11.25" customHeight="1" x14ac:dyDescent="0.3">
      <c r="A330" t="s">
        <v>548</v>
      </c>
      <c r="B330" t="s">
        <v>174</v>
      </c>
      <c r="C330" t="s">
        <v>1546</v>
      </c>
      <c r="D330" t="s">
        <v>1547</v>
      </c>
      <c r="E330" t="s">
        <v>1548</v>
      </c>
      <c r="F330" t="s">
        <v>596</v>
      </c>
      <c r="G330" t="s">
        <v>554</v>
      </c>
      <c r="H330" t="s">
        <v>554</v>
      </c>
      <c r="I330" t="s">
        <v>78</v>
      </c>
    </row>
    <row r="331" spans="1:9" ht="11.25" customHeight="1" x14ac:dyDescent="0.3">
      <c r="A331" t="s">
        <v>548</v>
      </c>
      <c r="B331" t="s">
        <v>174</v>
      </c>
      <c r="C331" t="s">
        <v>1549</v>
      </c>
      <c r="D331" t="s">
        <v>1550</v>
      </c>
      <c r="E331" t="s">
        <v>1551</v>
      </c>
      <c r="F331" t="s">
        <v>756</v>
      </c>
      <c r="G331" t="s">
        <v>554</v>
      </c>
      <c r="H331" t="s">
        <v>554</v>
      </c>
      <c r="I331" t="s">
        <v>78</v>
      </c>
    </row>
    <row r="332" spans="1:9" ht="11.25" customHeight="1" x14ac:dyDescent="0.3">
      <c r="A332" t="s">
        <v>548</v>
      </c>
      <c r="B332" t="s">
        <v>174</v>
      </c>
      <c r="C332" t="s">
        <v>1027</v>
      </c>
      <c r="D332" t="s">
        <v>1028</v>
      </c>
      <c r="E332" t="s">
        <v>1029</v>
      </c>
      <c r="F332" t="s">
        <v>572</v>
      </c>
      <c r="G332" t="s">
        <v>554</v>
      </c>
      <c r="H332" t="s">
        <v>554</v>
      </c>
      <c r="I332" t="s">
        <v>78</v>
      </c>
    </row>
    <row r="333" spans="1:9" ht="11.25" customHeight="1" x14ac:dyDescent="0.3">
      <c r="A333" t="s">
        <v>548</v>
      </c>
      <c r="B333" t="s">
        <v>174</v>
      </c>
      <c r="C333" t="s">
        <v>1552</v>
      </c>
      <c r="D333" t="s">
        <v>1553</v>
      </c>
      <c r="E333" t="s">
        <v>1554</v>
      </c>
      <c r="F333" t="s">
        <v>756</v>
      </c>
      <c r="G333" t="s">
        <v>1555</v>
      </c>
      <c r="H333" t="s">
        <v>554</v>
      </c>
      <c r="I333" t="s">
        <v>78</v>
      </c>
    </row>
    <row r="334" spans="1:9" ht="11.25" customHeight="1" x14ac:dyDescent="0.3">
      <c r="A334" t="s">
        <v>548</v>
      </c>
      <c r="B334" t="s">
        <v>174</v>
      </c>
      <c r="C334" t="s">
        <v>1556</v>
      </c>
      <c r="D334" t="s">
        <v>1557</v>
      </c>
      <c r="E334" t="s">
        <v>1558</v>
      </c>
      <c r="F334" t="s">
        <v>596</v>
      </c>
      <c r="G334" t="s">
        <v>554</v>
      </c>
      <c r="H334" t="s">
        <v>554</v>
      </c>
      <c r="I334" t="s">
        <v>78</v>
      </c>
    </row>
    <row r="335" spans="1:9" ht="11.25" customHeight="1" x14ac:dyDescent="0.3">
      <c r="A335" t="s">
        <v>548</v>
      </c>
      <c r="B335" t="s">
        <v>174</v>
      </c>
      <c r="C335" t="s">
        <v>1559</v>
      </c>
      <c r="D335" t="s">
        <v>1560</v>
      </c>
      <c r="E335" t="s">
        <v>1561</v>
      </c>
      <c r="F335" t="s">
        <v>596</v>
      </c>
      <c r="G335" t="s">
        <v>1562</v>
      </c>
      <c r="H335" t="s">
        <v>554</v>
      </c>
      <c r="I335" t="s">
        <v>78</v>
      </c>
    </row>
    <row r="336" spans="1:9" ht="11.25" customHeight="1" x14ac:dyDescent="0.3">
      <c r="A336" t="s">
        <v>548</v>
      </c>
      <c r="B336" t="s">
        <v>174</v>
      </c>
      <c r="C336" t="s">
        <v>1563</v>
      </c>
      <c r="D336" t="s">
        <v>1564</v>
      </c>
      <c r="E336" t="s">
        <v>1565</v>
      </c>
      <c r="F336" t="s">
        <v>820</v>
      </c>
      <c r="G336" t="s">
        <v>554</v>
      </c>
      <c r="H336" t="s">
        <v>554</v>
      </c>
      <c r="I336" t="s">
        <v>78</v>
      </c>
    </row>
    <row r="337" spans="1:9" ht="11.25" customHeight="1" x14ac:dyDescent="0.3">
      <c r="A337" t="s">
        <v>548</v>
      </c>
      <c r="B337" t="s">
        <v>174</v>
      </c>
      <c r="C337" t="s">
        <v>1566</v>
      </c>
      <c r="D337" t="s">
        <v>1567</v>
      </c>
      <c r="E337" t="s">
        <v>1568</v>
      </c>
      <c r="F337" t="s">
        <v>873</v>
      </c>
      <c r="G337" t="s">
        <v>1569</v>
      </c>
      <c r="H337" t="s">
        <v>554</v>
      </c>
      <c r="I337" t="s">
        <v>78</v>
      </c>
    </row>
    <row r="338" spans="1:9" ht="11.25" customHeight="1" x14ac:dyDescent="0.3">
      <c r="A338" t="s">
        <v>548</v>
      </c>
      <c r="B338" t="s">
        <v>174</v>
      </c>
      <c r="C338" t="s">
        <v>1058</v>
      </c>
      <c r="D338" t="s">
        <v>1059</v>
      </c>
      <c r="E338" t="s">
        <v>1060</v>
      </c>
      <c r="F338" t="s">
        <v>1061</v>
      </c>
      <c r="G338" t="s">
        <v>554</v>
      </c>
      <c r="H338" t="s">
        <v>554</v>
      </c>
      <c r="I338" t="s">
        <v>78</v>
      </c>
    </row>
    <row r="339" spans="1:9" ht="11.25" customHeight="1" x14ac:dyDescent="0.3">
      <c r="A339" t="s">
        <v>548</v>
      </c>
      <c r="B339" t="s">
        <v>174</v>
      </c>
      <c r="C339" t="s">
        <v>1062</v>
      </c>
      <c r="D339" t="s">
        <v>1063</v>
      </c>
      <c r="E339" t="s">
        <v>1064</v>
      </c>
      <c r="F339" t="s">
        <v>572</v>
      </c>
      <c r="G339" t="s">
        <v>554</v>
      </c>
      <c r="H339" t="s">
        <v>554</v>
      </c>
      <c r="I339" t="s">
        <v>78</v>
      </c>
    </row>
    <row r="340" spans="1:9" ht="11.25" customHeight="1" x14ac:dyDescent="0.3">
      <c r="A340" t="s">
        <v>548</v>
      </c>
      <c r="B340" t="s">
        <v>174</v>
      </c>
      <c r="C340" t="s">
        <v>1570</v>
      </c>
      <c r="D340" t="s">
        <v>1571</v>
      </c>
      <c r="E340" t="s">
        <v>1572</v>
      </c>
      <c r="F340" t="s">
        <v>563</v>
      </c>
      <c r="G340" t="s">
        <v>1573</v>
      </c>
      <c r="H340" t="s">
        <v>554</v>
      </c>
      <c r="I340" t="s">
        <v>78</v>
      </c>
    </row>
    <row r="341" spans="1:9" ht="11.25" customHeight="1" x14ac:dyDescent="0.3">
      <c r="A341" t="s">
        <v>548</v>
      </c>
      <c r="B341" t="s">
        <v>174</v>
      </c>
      <c r="C341" t="s">
        <v>1065</v>
      </c>
      <c r="D341" t="s">
        <v>1066</v>
      </c>
      <c r="E341" t="s">
        <v>1067</v>
      </c>
      <c r="F341" t="s">
        <v>820</v>
      </c>
      <c r="G341" t="s">
        <v>1068</v>
      </c>
      <c r="H341" t="s">
        <v>554</v>
      </c>
      <c r="I341" t="s">
        <v>78</v>
      </c>
    </row>
    <row r="342" spans="1:9" ht="11.25" customHeight="1" x14ac:dyDescent="0.3">
      <c r="A342" t="s">
        <v>548</v>
      </c>
      <c r="B342" t="s">
        <v>174</v>
      </c>
      <c r="C342" t="s">
        <v>1072</v>
      </c>
      <c r="D342" t="s">
        <v>1073</v>
      </c>
      <c r="E342" t="s">
        <v>1074</v>
      </c>
      <c r="F342" t="s">
        <v>584</v>
      </c>
      <c r="G342" t="s">
        <v>1075</v>
      </c>
      <c r="H342" t="s">
        <v>554</v>
      </c>
      <c r="I342" t="s">
        <v>78</v>
      </c>
    </row>
    <row r="343" spans="1:9" ht="11.25" customHeight="1" x14ac:dyDescent="0.3">
      <c r="A343" t="s">
        <v>548</v>
      </c>
      <c r="B343" t="s">
        <v>174</v>
      </c>
      <c r="C343" t="s">
        <v>1076</v>
      </c>
      <c r="D343" t="s">
        <v>1073</v>
      </c>
      <c r="E343" t="s">
        <v>1077</v>
      </c>
      <c r="F343" t="s">
        <v>878</v>
      </c>
      <c r="G343" t="s">
        <v>554</v>
      </c>
      <c r="H343" t="s">
        <v>554</v>
      </c>
      <c r="I343" t="s">
        <v>78</v>
      </c>
    </row>
    <row r="344" spans="1:9" ht="11.25" customHeight="1" x14ac:dyDescent="0.3">
      <c r="A344" t="s">
        <v>548</v>
      </c>
      <c r="B344" t="s">
        <v>174</v>
      </c>
      <c r="C344" t="s">
        <v>1574</v>
      </c>
      <c r="D344" t="s">
        <v>1575</v>
      </c>
      <c r="E344" t="s">
        <v>1576</v>
      </c>
      <c r="F344" t="s">
        <v>756</v>
      </c>
      <c r="G344" t="s">
        <v>554</v>
      </c>
      <c r="H344" t="s">
        <v>554</v>
      </c>
      <c r="I344" t="s">
        <v>78</v>
      </c>
    </row>
    <row r="345" spans="1:9" ht="11.25" customHeight="1" x14ac:dyDescent="0.3">
      <c r="A345" t="s">
        <v>548</v>
      </c>
      <c r="B345" t="s">
        <v>174</v>
      </c>
      <c r="C345" t="s">
        <v>1577</v>
      </c>
      <c r="D345" t="s">
        <v>1578</v>
      </c>
      <c r="E345" t="s">
        <v>1579</v>
      </c>
      <c r="F345" t="s">
        <v>638</v>
      </c>
      <c r="G345" t="s">
        <v>554</v>
      </c>
      <c r="H345" t="s">
        <v>554</v>
      </c>
      <c r="I345" t="s">
        <v>78</v>
      </c>
    </row>
    <row r="346" spans="1:9" ht="11.25" customHeight="1" x14ac:dyDescent="0.3">
      <c r="A346" t="s">
        <v>548</v>
      </c>
      <c r="B346" t="s">
        <v>174</v>
      </c>
      <c r="C346" t="s">
        <v>1580</v>
      </c>
      <c r="D346" t="s">
        <v>1581</v>
      </c>
      <c r="E346" t="s">
        <v>1582</v>
      </c>
      <c r="F346" t="s">
        <v>756</v>
      </c>
      <c r="G346" t="s">
        <v>1583</v>
      </c>
      <c r="H346" t="s">
        <v>554</v>
      </c>
      <c r="I346" t="s">
        <v>78</v>
      </c>
    </row>
    <row r="347" spans="1:9" ht="11.25" customHeight="1" x14ac:dyDescent="0.3">
      <c r="A347" t="s">
        <v>548</v>
      </c>
      <c r="B347" t="s">
        <v>174</v>
      </c>
      <c r="C347" t="s">
        <v>1584</v>
      </c>
      <c r="D347" t="s">
        <v>1585</v>
      </c>
      <c r="E347" t="s">
        <v>1586</v>
      </c>
      <c r="F347" t="s">
        <v>873</v>
      </c>
      <c r="G347" t="s">
        <v>1587</v>
      </c>
      <c r="H347" t="s">
        <v>554</v>
      </c>
      <c r="I347" t="s">
        <v>78</v>
      </c>
    </row>
    <row r="348" spans="1:9" ht="11.25" customHeight="1" x14ac:dyDescent="0.3">
      <c r="A348" t="s">
        <v>548</v>
      </c>
      <c r="B348" t="s">
        <v>174</v>
      </c>
      <c r="C348" t="s">
        <v>1588</v>
      </c>
      <c r="D348" t="s">
        <v>1589</v>
      </c>
      <c r="E348" t="s">
        <v>1590</v>
      </c>
      <c r="F348" t="s">
        <v>756</v>
      </c>
      <c r="G348" t="s">
        <v>554</v>
      </c>
      <c r="H348" t="s">
        <v>554</v>
      </c>
      <c r="I348" t="s">
        <v>78</v>
      </c>
    </row>
    <row r="349" spans="1:9" ht="11.25" customHeight="1" x14ac:dyDescent="0.3">
      <c r="A349" t="s">
        <v>548</v>
      </c>
      <c r="B349" t="s">
        <v>174</v>
      </c>
      <c r="C349" t="s">
        <v>1591</v>
      </c>
      <c r="D349" t="s">
        <v>1592</v>
      </c>
      <c r="E349" t="s">
        <v>1593</v>
      </c>
      <c r="F349" t="s">
        <v>756</v>
      </c>
      <c r="G349" t="s">
        <v>1594</v>
      </c>
      <c r="H349" t="s">
        <v>554</v>
      </c>
      <c r="I349" t="s">
        <v>78</v>
      </c>
    </row>
    <row r="350" spans="1:9" ht="11.25" customHeight="1" x14ac:dyDescent="0.3">
      <c r="A350" t="s">
        <v>548</v>
      </c>
      <c r="B350" t="s">
        <v>174</v>
      </c>
      <c r="C350" t="s">
        <v>1595</v>
      </c>
      <c r="D350" t="s">
        <v>1596</v>
      </c>
      <c r="E350" t="s">
        <v>1597</v>
      </c>
      <c r="F350" t="s">
        <v>848</v>
      </c>
      <c r="G350" t="s">
        <v>554</v>
      </c>
      <c r="H350" t="s">
        <v>554</v>
      </c>
      <c r="I350" t="s">
        <v>78</v>
      </c>
    </row>
    <row r="351" spans="1:9" ht="11.25" customHeight="1" x14ac:dyDescent="0.3">
      <c r="A351" t="s">
        <v>548</v>
      </c>
      <c r="B351" t="s">
        <v>174</v>
      </c>
      <c r="C351" t="s">
        <v>1163</v>
      </c>
      <c r="D351" t="s">
        <v>1164</v>
      </c>
      <c r="E351" t="s">
        <v>1165</v>
      </c>
      <c r="F351" t="s">
        <v>1166</v>
      </c>
      <c r="G351" t="s">
        <v>1167</v>
      </c>
      <c r="H351" t="s">
        <v>554</v>
      </c>
      <c r="I351" t="s">
        <v>78</v>
      </c>
    </row>
    <row r="352" spans="1:9" ht="11.25" customHeight="1" x14ac:dyDescent="0.3">
      <c r="A352" t="s">
        <v>548</v>
      </c>
      <c r="B352" t="s">
        <v>174</v>
      </c>
      <c r="C352" t="s">
        <v>1598</v>
      </c>
      <c r="D352" t="s">
        <v>1599</v>
      </c>
      <c r="E352" t="s">
        <v>1600</v>
      </c>
      <c r="F352" t="s">
        <v>596</v>
      </c>
      <c r="G352" t="s">
        <v>1601</v>
      </c>
      <c r="H352" t="s">
        <v>554</v>
      </c>
      <c r="I352" t="s">
        <v>78</v>
      </c>
    </row>
    <row r="353" spans="1:9" ht="11.25" customHeight="1" x14ac:dyDescent="0.3">
      <c r="A353" t="s">
        <v>548</v>
      </c>
      <c r="B353" t="s">
        <v>174</v>
      </c>
      <c r="C353" t="s">
        <v>1191</v>
      </c>
      <c r="D353" t="s">
        <v>1192</v>
      </c>
      <c r="E353" t="s">
        <v>1193</v>
      </c>
      <c r="F353" t="s">
        <v>596</v>
      </c>
      <c r="G353" t="s">
        <v>1194</v>
      </c>
      <c r="H353" t="s">
        <v>554</v>
      </c>
      <c r="I353" t="s">
        <v>78</v>
      </c>
    </row>
    <row r="354" spans="1:9" ht="11.25" customHeight="1" x14ac:dyDescent="0.3">
      <c r="A354" t="s">
        <v>548</v>
      </c>
      <c r="B354" t="s">
        <v>174</v>
      </c>
      <c r="C354" t="s">
        <v>1602</v>
      </c>
      <c r="D354" t="s">
        <v>1603</v>
      </c>
      <c r="E354" t="s">
        <v>1604</v>
      </c>
      <c r="F354" t="s">
        <v>596</v>
      </c>
      <c r="G354" t="s">
        <v>554</v>
      </c>
      <c r="H354" t="s">
        <v>554</v>
      </c>
      <c r="I354" t="s">
        <v>78</v>
      </c>
    </row>
    <row r="355" spans="1:9" ht="11.25" customHeight="1" x14ac:dyDescent="0.3">
      <c r="A355" t="s">
        <v>548</v>
      </c>
      <c r="B355" t="s">
        <v>174</v>
      </c>
      <c r="C355" t="s">
        <v>1208</v>
      </c>
      <c r="D355" t="s">
        <v>1209</v>
      </c>
      <c r="E355" t="s">
        <v>1210</v>
      </c>
      <c r="F355" t="s">
        <v>563</v>
      </c>
      <c r="G355" t="s">
        <v>722</v>
      </c>
      <c r="H355" t="s">
        <v>554</v>
      </c>
      <c r="I355" t="s">
        <v>78</v>
      </c>
    </row>
    <row r="356" spans="1:9" ht="11.25" customHeight="1" x14ac:dyDescent="0.3">
      <c r="A356" t="s">
        <v>548</v>
      </c>
      <c r="B356" t="s">
        <v>174</v>
      </c>
      <c r="C356" t="s">
        <v>1215</v>
      </c>
      <c r="D356" t="s">
        <v>1216</v>
      </c>
      <c r="E356" t="s">
        <v>1217</v>
      </c>
      <c r="F356" t="s">
        <v>794</v>
      </c>
      <c r="G356" t="s">
        <v>1218</v>
      </c>
      <c r="H356" t="s">
        <v>554</v>
      </c>
      <c r="I356" t="s">
        <v>78</v>
      </c>
    </row>
    <row r="357" spans="1:9" ht="11.25" customHeight="1" x14ac:dyDescent="0.3">
      <c r="A357" t="s">
        <v>548</v>
      </c>
      <c r="B357" t="s">
        <v>174</v>
      </c>
      <c r="C357" t="s">
        <v>1605</v>
      </c>
      <c r="D357" t="s">
        <v>1606</v>
      </c>
      <c r="E357" t="s">
        <v>1607</v>
      </c>
      <c r="F357" t="s">
        <v>596</v>
      </c>
      <c r="G357" t="s">
        <v>1608</v>
      </c>
      <c r="H357" t="s">
        <v>554</v>
      </c>
      <c r="I357" t="s">
        <v>78</v>
      </c>
    </row>
    <row r="358" spans="1:9" ht="11.25" customHeight="1" x14ac:dyDescent="0.3">
      <c r="A358" t="s">
        <v>548</v>
      </c>
      <c r="B358" t="s">
        <v>174</v>
      </c>
      <c r="C358" t="s">
        <v>1219</v>
      </c>
      <c r="D358" t="s">
        <v>1220</v>
      </c>
      <c r="E358" t="s">
        <v>1221</v>
      </c>
      <c r="F358" t="s">
        <v>1166</v>
      </c>
      <c r="G358" t="s">
        <v>554</v>
      </c>
      <c r="H358" t="s">
        <v>554</v>
      </c>
      <c r="I358" t="s">
        <v>78</v>
      </c>
    </row>
    <row r="359" spans="1:9" ht="11.25" customHeight="1" x14ac:dyDescent="0.3">
      <c r="A359" t="s">
        <v>548</v>
      </c>
      <c r="B359" t="s">
        <v>174</v>
      </c>
      <c r="C359" t="s">
        <v>1609</v>
      </c>
      <c r="D359" t="s">
        <v>1610</v>
      </c>
      <c r="E359" t="s">
        <v>1611</v>
      </c>
      <c r="F359" t="s">
        <v>1612</v>
      </c>
      <c r="G359" t="s">
        <v>1613</v>
      </c>
      <c r="H359" t="s">
        <v>554</v>
      </c>
      <c r="I359" t="s">
        <v>78</v>
      </c>
    </row>
    <row r="360" spans="1:9" ht="11.25" customHeight="1" x14ac:dyDescent="0.3">
      <c r="A360" t="s">
        <v>548</v>
      </c>
      <c r="B360" t="s">
        <v>174</v>
      </c>
      <c r="C360" t="s">
        <v>1253</v>
      </c>
      <c r="D360" t="s">
        <v>1254</v>
      </c>
      <c r="E360" t="s">
        <v>1255</v>
      </c>
      <c r="F360" t="s">
        <v>596</v>
      </c>
      <c r="G360" t="s">
        <v>680</v>
      </c>
      <c r="H360" t="s">
        <v>554</v>
      </c>
      <c r="I360" t="s">
        <v>78</v>
      </c>
    </row>
    <row r="361" spans="1:9" ht="11.25" customHeight="1" x14ac:dyDescent="0.3">
      <c r="A361" t="s">
        <v>548</v>
      </c>
      <c r="B361" t="s">
        <v>174</v>
      </c>
      <c r="C361" t="s">
        <v>1614</v>
      </c>
      <c r="D361" t="s">
        <v>1615</v>
      </c>
      <c r="E361" t="s">
        <v>1616</v>
      </c>
      <c r="F361" t="s">
        <v>596</v>
      </c>
      <c r="G361" t="s">
        <v>1617</v>
      </c>
      <c r="H361" t="s">
        <v>554</v>
      </c>
      <c r="I361" t="s">
        <v>78</v>
      </c>
    </row>
    <row r="362" spans="1:9" ht="11.25" customHeight="1" x14ac:dyDescent="0.3">
      <c r="A362" t="s">
        <v>548</v>
      </c>
      <c r="B362" t="s">
        <v>174</v>
      </c>
      <c r="C362" t="s">
        <v>1618</v>
      </c>
      <c r="D362" t="s">
        <v>1619</v>
      </c>
      <c r="E362" t="s">
        <v>1620</v>
      </c>
      <c r="F362" t="s">
        <v>825</v>
      </c>
      <c r="G362" t="s">
        <v>554</v>
      </c>
      <c r="H362" t="s">
        <v>554</v>
      </c>
      <c r="I362" t="s">
        <v>78</v>
      </c>
    </row>
    <row r="363" spans="1:9" ht="11.25" customHeight="1" x14ac:dyDescent="0.3">
      <c r="A363" t="s">
        <v>548</v>
      </c>
      <c r="B363" t="s">
        <v>174</v>
      </c>
      <c r="C363" t="s">
        <v>1621</v>
      </c>
      <c r="D363" t="s">
        <v>1622</v>
      </c>
      <c r="E363" t="s">
        <v>1623</v>
      </c>
      <c r="F363" t="s">
        <v>798</v>
      </c>
      <c r="G363" t="s">
        <v>554</v>
      </c>
      <c r="H363" t="s">
        <v>554</v>
      </c>
      <c r="I363" t="s">
        <v>78</v>
      </c>
    </row>
    <row r="364" spans="1:9" ht="11.25" customHeight="1" x14ac:dyDescent="0.3">
      <c r="A364" t="s">
        <v>548</v>
      </c>
      <c r="B364" t="s">
        <v>174</v>
      </c>
      <c r="C364" t="s">
        <v>1624</v>
      </c>
      <c r="D364" t="s">
        <v>1625</v>
      </c>
      <c r="E364" t="s">
        <v>1626</v>
      </c>
      <c r="F364" t="s">
        <v>825</v>
      </c>
      <c r="G364" t="s">
        <v>554</v>
      </c>
      <c r="H364" t="s">
        <v>554</v>
      </c>
      <c r="I364" t="s">
        <v>78</v>
      </c>
    </row>
    <row r="365" spans="1:9" ht="11.25" customHeight="1" x14ac:dyDescent="0.3">
      <c r="A365" t="s">
        <v>548</v>
      </c>
      <c r="B365" t="s">
        <v>174</v>
      </c>
      <c r="C365" t="s">
        <v>1627</v>
      </c>
      <c r="D365" t="s">
        <v>1628</v>
      </c>
      <c r="E365" t="s">
        <v>1629</v>
      </c>
      <c r="F365" t="s">
        <v>825</v>
      </c>
      <c r="G365" t="s">
        <v>554</v>
      </c>
      <c r="H365" t="s">
        <v>554</v>
      </c>
      <c r="I365" t="s">
        <v>78</v>
      </c>
    </row>
    <row r="366" spans="1:9" ht="11.25" customHeight="1" x14ac:dyDescent="0.3">
      <c r="A366" t="s">
        <v>548</v>
      </c>
      <c r="B366" t="s">
        <v>174</v>
      </c>
      <c r="C366" t="s">
        <v>1630</v>
      </c>
      <c r="D366" t="s">
        <v>1631</v>
      </c>
      <c r="E366" t="s">
        <v>1632</v>
      </c>
      <c r="F366" t="s">
        <v>784</v>
      </c>
      <c r="G366" t="s">
        <v>554</v>
      </c>
      <c r="H366" t="s">
        <v>554</v>
      </c>
      <c r="I366" t="s">
        <v>78</v>
      </c>
    </row>
    <row r="367" spans="1:9" ht="11.25" customHeight="1" x14ac:dyDescent="0.3">
      <c r="A367" t="s">
        <v>548</v>
      </c>
      <c r="B367" t="s">
        <v>174</v>
      </c>
      <c r="C367" t="s">
        <v>1633</v>
      </c>
      <c r="D367" t="s">
        <v>1634</v>
      </c>
      <c r="E367" t="s">
        <v>1635</v>
      </c>
      <c r="F367" t="s">
        <v>918</v>
      </c>
      <c r="G367" t="s">
        <v>554</v>
      </c>
      <c r="H367" t="s">
        <v>554</v>
      </c>
      <c r="I367" t="s">
        <v>78</v>
      </c>
    </row>
    <row r="368" spans="1:9" ht="11.25" customHeight="1" x14ac:dyDescent="0.3">
      <c r="A368" t="s">
        <v>548</v>
      </c>
      <c r="B368" t="s">
        <v>174</v>
      </c>
      <c r="C368" t="s">
        <v>1270</v>
      </c>
      <c r="D368" t="s">
        <v>1271</v>
      </c>
      <c r="E368" t="s">
        <v>1272</v>
      </c>
      <c r="F368" t="s">
        <v>1273</v>
      </c>
      <c r="G368" t="s">
        <v>554</v>
      </c>
      <c r="H368" t="s">
        <v>554</v>
      </c>
      <c r="I368" t="s">
        <v>78</v>
      </c>
    </row>
    <row r="369" spans="1:9" ht="11.25" customHeight="1" x14ac:dyDescent="0.3">
      <c r="A369" t="s">
        <v>548</v>
      </c>
      <c r="B369" t="s">
        <v>174</v>
      </c>
      <c r="C369" t="s">
        <v>1283</v>
      </c>
      <c r="D369" t="s">
        <v>1284</v>
      </c>
      <c r="E369" t="s">
        <v>1285</v>
      </c>
      <c r="F369" t="s">
        <v>584</v>
      </c>
      <c r="G369" t="s">
        <v>554</v>
      </c>
      <c r="H369" t="s">
        <v>554</v>
      </c>
      <c r="I369" t="s">
        <v>27</v>
      </c>
    </row>
    <row r="370" spans="1:9" ht="11.25" customHeight="1" x14ac:dyDescent="0.3">
      <c r="A370" t="s">
        <v>548</v>
      </c>
      <c r="B370" t="s">
        <v>174</v>
      </c>
      <c r="C370" t="s">
        <v>560</v>
      </c>
      <c r="D370" t="s">
        <v>561</v>
      </c>
      <c r="E370" t="s">
        <v>562</v>
      </c>
      <c r="F370" t="s">
        <v>563</v>
      </c>
      <c r="G370" t="s">
        <v>554</v>
      </c>
      <c r="H370" t="s">
        <v>554</v>
      </c>
      <c r="I370" t="s">
        <v>27</v>
      </c>
    </row>
    <row r="371" spans="1:9" ht="11.25" customHeight="1" x14ac:dyDescent="0.3">
      <c r="A371" t="s">
        <v>548</v>
      </c>
      <c r="B371" t="s">
        <v>174</v>
      </c>
      <c r="C371" t="s">
        <v>1290</v>
      </c>
      <c r="D371" t="s">
        <v>1291</v>
      </c>
      <c r="E371" t="s">
        <v>1292</v>
      </c>
      <c r="F371" t="s">
        <v>1293</v>
      </c>
      <c r="G371" t="s">
        <v>1294</v>
      </c>
      <c r="H371" t="s">
        <v>554</v>
      </c>
      <c r="I371" t="s">
        <v>27</v>
      </c>
    </row>
    <row r="372" spans="1:9" ht="11.25" customHeight="1" x14ac:dyDescent="0.3">
      <c r="A372" t="s">
        <v>548</v>
      </c>
      <c r="B372" t="s">
        <v>174</v>
      </c>
      <c r="C372" t="s">
        <v>1295</v>
      </c>
      <c r="D372" t="s">
        <v>1296</v>
      </c>
      <c r="E372" t="s">
        <v>1297</v>
      </c>
      <c r="F372" t="s">
        <v>584</v>
      </c>
      <c r="G372" t="s">
        <v>1298</v>
      </c>
      <c r="H372" t="s">
        <v>554</v>
      </c>
      <c r="I372" t="s">
        <v>27</v>
      </c>
    </row>
    <row r="373" spans="1:9" ht="11.25" customHeight="1" x14ac:dyDescent="0.3">
      <c r="A373" t="s">
        <v>548</v>
      </c>
      <c r="B373" t="s">
        <v>174</v>
      </c>
      <c r="C373" t="s">
        <v>1299</v>
      </c>
      <c r="D373" t="s">
        <v>1300</v>
      </c>
      <c r="E373" t="s">
        <v>1301</v>
      </c>
      <c r="F373" t="s">
        <v>1014</v>
      </c>
      <c r="G373" t="s">
        <v>554</v>
      </c>
      <c r="H373" t="s">
        <v>554</v>
      </c>
      <c r="I373" t="s">
        <v>27</v>
      </c>
    </row>
    <row r="374" spans="1:9" ht="11.25" customHeight="1" x14ac:dyDescent="0.3">
      <c r="A374" t="s">
        <v>548</v>
      </c>
      <c r="B374" t="s">
        <v>174</v>
      </c>
      <c r="C374" t="s">
        <v>585</v>
      </c>
      <c r="D374" t="s">
        <v>586</v>
      </c>
      <c r="E374" t="s">
        <v>587</v>
      </c>
      <c r="F374" t="s">
        <v>588</v>
      </c>
      <c r="G374" t="s">
        <v>589</v>
      </c>
      <c r="H374" t="s">
        <v>554</v>
      </c>
      <c r="I374" t="s">
        <v>27</v>
      </c>
    </row>
    <row r="375" spans="1:9" ht="11.25" customHeight="1" x14ac:dyDescent="0.3">
      <c r="A375" t="s">
        <v>548</v>
      </c>
      <c r="B375" t="s">
        <v>174</v>
      </c>
      <c r="C375" t="s">
        <v>590</v>
      </c>
      <c r="D375" t="s">
        <v>591</v>
      </c>
      <c r="E375" t="s">
        <v>592</v>
      </c>
      <c r="F375" t="s">
        <v>588</v>
      </c>
      <c r="G375" t="s">
        <v>554</v>
      </c>
      <c r="H375" t="s">
        <v>554</v>
      </c>
      <c r="I375" t="s">
        <v>27</v>
      </c>
    </row>
    <row r="376" spans="1:9" ht="11.25" customHeight="1" x14ac:dyDescent="0.3">
      <c r="A376" t="s">
        <v>548</v>
      </c>
      <c r="B376" t="s">
        <v>174</v>
      </c>
      <c r="C376" t="s">
        <v>601</v>
      </c>
      <c r="D376" t="s">
        <v>602</v>
      </c>
      <c r="E376" t="s">
        <v>603</v>
      </c>
      <c r="F376" t="s">
        <v>604</v>
      </c>
      <c r="G376" t="s">
        <v>605</v>
      </c>
      <c r="H376" t="s">
        <v>554</v>
      </c>
      <c r="I376" t="s">
        <v>27</v>
      </c>
    </row>
    <row r="377" spans="1:9" ht="11.25" customHeight="1" x14ac:dyDescent="0.3">
      <c r="A377" t="s">
        <v>548</v>
      </c>
      <c r="B377" t="s">
        <v>174</v>
      </c>
      <c r="C377" t="s">
        <v>1636</v>
      </c>
      <c r="D377" t="s">
        <v>1637</v>
      </c>
      <c r="E377" t="s">
        <v>1638</v>
      </c>
      <c r="F377" t="s">
        <v>596</v>
      </c>
      <c r="G377" t="s">
        <v>1639</v>
      </c>
      <c r="H377" t="s">
        <v>554</v>
      </c>
      <c r="I377" t="s">
        <v>27</v>
      </c>
    </row>
    <row r="378" spans="1:9" ht="11.25" customHeight="1" x14ac:dyDescent="0.3">
      <c r="A378" t="s">
        <v>548</v>
      </c>
      <c r="B378" t="s">
        <v>174</v>
      </c>
      <c r="C378" t="s">
        <v>609</v>
      </c>
      <c r="D378" t="s">
        <v>610</v>
      </c>
      <c r="E378" t="s">
        <v>611</v>
      </c>
      <c r="F378" t="s">
        <v>612</v>
      </c>
      <c r="G378" t="s">
        <v>554</v>
      </c>
      <c r="H378" t="s">
        <v>554</v>
      </c>
      <c r="I378" t="s">
        <v>27</v>
      </c>
    </row>
    <row r="379" spans="1:9" ht="11.25" customHeight="1" x14ac:dyDescent="0.3">
      <c r="A379" t="s">
        <v>548</v>
      </c>
      <c r="B379" t="s">
        <v>174</v>
      </c>
      <c r="C379" t="s">
        <v>613</v>
      </c>
      <c r="D379" t="s">
        <v>614</v>
      </c>
      <c r="E379" t="s">
        <v>615</v>
      </c>
      <c r="F379" t="s">
        <v>616</v>
      </c>
      <c r="G379" t="s">
        <v>554</v>
      </c>
      <c r="H379" t="s">
        <v>554</v>
      </c>
      <c r="I379" t="s">
        <v>27</v>
      </c>
    </row>
    <row r="380" spans="1:9" ht="11.25" customHeight="1" x14ac:dyDescent="0.3">
      <c r="A380" t="s">
        <v>548</v>
      </c>
      <c r="B380" t="s">
        <v>174</v>
      </c>
      <c r="C380" t="s">
        <v>653</v>
      </c>
      <c r="D380" t="s">
        <v>654</v>
      </c>
      <c r="E380" t="s">
        <v>655</v>
      </c>
      <c r="F380" t="s">
        <v>596</v>
      </c>
      <c r="G380" t="s">
        <v>656</v>
      </c>
      <c r="H380" t="s">
        <v>554</v>
      </c>
      <c r="I380" t="s">
        <v>27</v>
      </c>
    </row>
    <row r="381" spans="1:9" ht="11.25" customHeight="1" x14ac:dyDescent="0.3">
      <c r="A381" t="s">
        <v>548</v>
      </c>
      <c r="B381" t="s">
        <v>174</v>
      </c>
      <c r="C381" t="s">
        <v>657</v>
      </c>
      <c r="D381" t="s">
        <v>658</v>
      </c>
      <c r="E381" t="s">
        <v>659</v>
      </c>
      <c r="F381" t="s">
        <v>596</v>
      </c>
      <c r="G381" t="s">
        <v>554</v>
      </c>
      <c r="H381" t="s">
        <v>554</v>
      </c>
      <c r="I381" t="s">
        <v>27</v>
      </c>
    </row>
    <row r="382" spans="1:9" ht="11.25" customHeight="1" x14ac:dyDescent="0.3">
      <c r="A382" t="s">
        <v>548</v>
      </c>
      <c r="B382" t="s">
        <v>174</v>
      </c>
      <c r="C382" t="s">
        <v>1640</v>
      </c>
      <c r="D382" t="s">
        <v>1641</v>
      </c>
      <c r="E382" t="s">
        <v>1642</v>
      </c>
      <c r="F382" t="s">
        <v>1014</v>
      </c>
      <c r="G382" t="s">
        <v>1643</v>
      </c>
      <c r="H382" t="s">
        <v>554</v>
      </c>
      <c r="I382" t="s">
        <v>27</v>
      </c>
    </row>
    <row r="383" spans="1:9" ht="11.25" customHeight="1" x14ac:dyDescent="0.3">
      <c r="A383" t="s">
        <v>548</v>
      </c>
      <c r="B383" t="s">
        <v>174</v>
      </c>
      <c r="C383" t="s">
        <v>1644</v>
      </c>
      <c r="D383" t="s">
        <v>1645</v>
      </c>
      <c r="E383" t="s">
        <v>1646</v>
      </c>
      <c r="F383" t="s">
        <v>596</v>
      </c>
      <c r="G383" t="s">
        <v>554</v>
      </c>
      <c r="H383" t="s">
        <v>554</v>
      </c>
      <c r="I383" t="s">
        <v>27</v>
      </c>
    </row>
    <row r="384" spans="1:9" ht="11.25" customHeight="1" x14ac:dyDescent="0.3">
      <c r="A384" t="s">
        <v>548</v>
      </c>
      <c r="B384" t="s">
        <v>174</v>
      </c>
      <c r="C384" t="s">
        <v>681</v>
      </c>
      <c r="D384" t="s">
        <v>682</v>
      </c>
      <c r="E384" t="s">
        <v>683</v>
      </c>
      <c r="F384" t="s">
        <v>684</v>
      </c>
      <c r="G384" t="s">
        <v>685</v>
      </c>
      <c r="H384" t="s">
        <v>554</v>
      </c>
      <c r="I384" t="s">
        <v>27</v>
      </c>
    </row>
    <row r="385" spans="1:9" ht="11.25" customHeight="1" x14ac:dyDescent="0.3">
      <c r="A385" t="s">
        <v>548</v>
      </c>
      <c r="B385" t="s">
        <v>174</v>
      </c>
      <c r="C385" t="s">
        <v>697</v>
      </c>
      <c r="D385" t="s">
        <v>698</v>
      </c>
      <c r="E385" t="s">
        <v>699</v>
      </c>
      <c r="F385" t="s">
        <v>700</v>
      </c>
      <c r="G385" t="s">
        <v>701</v>
      </c>
      <c r="H385" t="s">
        <v>554</v>
      </c>
      <c r="I385" t="s">
        <v>27</v>
      </c>
    </row>
    <row r="386" spans="1:9" ht="11.25" customHeight="1" x14ac:dyDescent="0.3">
      <c r="A386" t="s">
        <v>548</v>
      </c>
      <c r="B386" t="s">
        <v>174</v>
      </c>
      <c r="C386" t="s">
        <v>1353</v>
      </c>
      <c r="D386" t="s">
        <v>1354</v>
      </c>
      <c r="E386" t="s">
        <v>1355</v>
      </c>
      <c r="F386" t="s">
        <v>596</v>
      </c>
      <c r="G386" t="s">
        <v>1356</v>
      </c>
      <c r="H386" t="s">
        <v>554</v>
      </c>
      <c r="I386" t="s">
        <v>27</v>
      </c>
    </row>
    <row r="387" spans="1:9" ht="11.25" customHeight="1" x14ac:dyDescent="0.3">
      <c r="A387" t="s">
        <v>548</v>
      </c>
      <c r="B387" t="s">
        <v>174</v>
      </c>
      <c r="C387" t="s">
        <v>1357</v>
      </c>
      <c r="D387" t="s">
        <v>1354</v>
      </c>
      <c r="E387" t="s">
        <v>1358</v>
      </c>
      <c r="F387" t="s">
        <v>596</v>
      </c>
      <c r="G387" t="s">
        <v>1359</v>
      </c>
      <c r="H387" t="s">
        <v>554</v>
      </c>
      <c r="I387" t="s">
        <v>27</v>
      </c>
    </row>
    <row r="388" spans="1:9" ht="11.25" customHeight="1" x14ac:dyDescent="0.3">
      <c r="A388" t="s">
        <v>548</v>
      </c>
      <c r="B388" t="s">
        <v>174</v>
      </c>
      <c r="C388" t="s">
        <v>1647</v>
      </c>
      <c r="D388" t="s">
        <v>1648</v>
      </c>
      <c r="E388" t="s">
        <v>1649</v>
      </c>
      <c r="F388" t="s">
        <v>812</v>
      </c>
      <c r="G388" t="s">
        <v>1650</v>
      </c>
      <c r="H388" t="s">
        <v>554</v>
      </c>
      <c r="I388" t="s">
        <v>27</v>
      </c>
    </row>
    <row r="389" spans="1:9" ht="11.25" customHeight="1" x14ac:dyDescent="0.3">
      <c r="A389" t="s">
        <v>548</v>
      </c>
      <c r="B389" t="s">
        <v>174</v>
      </c>
      <c r="C389" t="s">
        <v>706</v>
      </c>
      <c r="D389" t="s">
        <v>707</v>
      </c>
      <c r="E389" t="s">
        <v>708</v>
      </c>
      <c r="F389" t="s">
        <v>709</v>
      </c>
      <c r="G389" t="s">
        <v>710</v>
      </c>
      <c r="H389" t="s">
        <v>554</v>
      </c>
      <c r="I389" t="s">
        <v>27</v>
      </c>
    </row>
    <row r="390" spans="1:9" ht="11.25" customHeight="1" x14ac:dyDescent="0.3">
      <c r="A390" t="s">
        <v>548</v>
      </c>
      <c r="B390" t="s">
        <v>174</v>
      </c>
      <c r="C390" t="s">
        <v>718</v>
      </c>
      <c r="D390" t="s">
        <v>719</v>
      </c>
      <c r="E390" t="s">
        <v>720</v>
      </c>
      <c r="F390" t="s">
        <v>721</v>
      </c>
      <c r="G390" t="s">
        <v>722</v>
      </c>
      <c r="H390" t="s">
        <v>554</v>
      </c>
      <c r="I390" t="s">
        <v>27</v>
      </c>
    </row>
    <row r="391" spans="1:9" ht="11.25" customHeight="1" x14ac:dyDescent="0.3">
      <c r="A391" t="s">
        <v>548</v>
      </c>
      <c r="B391" t="s">
        <v>174</v>
      </c>
      <c r="C391" t="s">
        <v>743</v>
      </c>
      <c r="D391" t="s">
        <v>744</v>
      </c>
      <c r="E391" t="s">
        <v>745</v>
      </c>
      <c r="F391" t="s">
        <v>709</v>
      </c>
      <c r="G391" t="s">
        <v>746</v>
      </c>
      <c r="H391" t="s">
        <v>554</v>
      </c>
      <c r="I391" t="s">
        <v>27</v>
      </c>
    </row>
    <row r="392" spans="1:9" ht="11.25" customHeight="1" x14ac:dyDescent="0.3">
      <c r="A392" t="s">
        <v>548</v>
      </c>
      <c r="B392" t="s">
        <v>174</v>
      </c>
      <c r="C392" t="s">
        <v>1396</v>
      </c>
      <c r="D392" t="s">
        <v>1397</v>
      </c>
      <c r="E392" t="s">
        <v>1398</v>
      </c>
      <c r="F392" t="s">
        <v>766</v>
      </c>
      <c r="G392" t="s">
        <v>1399</v>
      </c>
      <c r="H392" t="s">
        <v>554</v>
      </c>
      <c r="I392" t="s">
        <v>27</v>
      </c>
    </row>
    <row r="393" spans="1:9" ht="11.25" customHeight="1" x14ac:dyDescent="0.3">
      <c r="A393" t="s">
        <v>548</v>
      </c>
      <c r="B393" t="s">
        <v>174</v>
      </c>
      <c r="C393" t="s">
        <v>767</v>
      </c>
      <c r="D393" t="s">
        <v>768</v>
      </c>
      <c r="E393" t="s">
        <v>769</v>
      </c>
      <c r="F393" t="s">
        <v>596</v>
      </c>
      <c r="G393" t="s">
        <v>770</v>
      </c>
      <c r="H393" t="s">
        <v>554</v>
      </c>
      <c r="I393" t="s">
        <v>27</v>
      </c>
    </row>
    <row r="394" spans="1:9" ht="11.25" customHeight="1" x14ac:dyDescent="0.3">
      <c r="A394" t="s">
        <v>548</v>
      </c>
      <c r="B394" t="s">
        <v>174</v>
      </c>
      <c r="C394" t="s">
        <v>1407</v>
      </c>
      <c r="D394" t="s">
        <v>1404</v>
      </c>
      <c r="E394" t="s">
        <v>1408</v>
      </c>
      <c r="F394" t="s">
        <v>803</v>
      </c>
      <c r="G394" t="s">
        <v>1409</v>
      </c>
      <c r="H394" t="s">
        <v>554</v>
      </c>
      <c r="I394" t="s">
        <v>27</v>
      </c>
    </row>
    <row r="395" spans="1:9" ht="11.25" customHeight="1" x14ac:dyDescent="0.3">
      <c r="A395" t="s">
        <v>548</v>
      </c>
      <c r="B395" t="s">
        <v>174</v>
      </c>
      <c r="C395" t="s">
        <v>1410</v>
      </c>
      <c r="D395" t="s">
        <v>1411</v>
      </c>
      <c r="E395" t="s">
        <v>1412</v>
      </c>
      <c r="F395" t="s">
        <v>918</v>
      </c>
      <c r="G395" t="s">
        <v>1413</v>
      </c>
      <c r="H395" t="s">
        <v>554</v>
      </c>
      <c r="I395" t="s">
        <v>27</v>
      </c>
    </row>
    <row r="396" spans="1:9" ht="11.25" customHeight="1" x14ac:dyDescent="0.3">
      <c r="A396" t="s">
        <v>548</v>
      </c>
      <c r="B396" t="s">
        <v>174</v>
      </c>
      <c r="C396" t="s">
        <v>774</v>
      </c>
      <c r="D396" t="s">
        <v>775</v>
      </c>
      <c r="E396" t="s">
        <v>776</v>
      </c>
      <c r="F396" t="s">
        <v>671</v>
      </c>
      <c r="G396" t="s">
        <v>777</v>
      </c>
      <c r="H396" t="s">
        <v>554</v>
      </c>
      <c r="I396" t="s">
        <v>27</v>
      </c>
    </row>
    <row r="397" spans="1:9" ht="11.25" customHeight="1" x14ac:dyDescent="0.3">
      <c r="A397" t="s">
        <v>548</v>
      </c>
      <c r="B397" t="s">
        <v>174</v>
      </c>
      <c r="C397" t="s">
        <v>800</v>
      </c>
      <c r="D397" t="s">
        <v>801</v>
      </c>
      <c r="E397" t="s">
        <v>802</v>
      </c>
      <c r="F397" t="s">
        <v>803</v>
      </c>
      <c r="G397" t="s">
        <v>804</v>
      </c>
      <c r="H397" t="s">
        <v>554</v>
      </c>
      <c r="I397" t="s">
        <v>27</v>
      </c>
    </row>
    <row r="398" spans="1:9" ht="11.25" customHeight="1" x14ac:dyDescent="0.3">
      <c r="A398" t="s">
        <v>548</v>
      </c>
      <c r="B398" t="s">
        <v>174</v>
      </c>
      <c r="C398" t="s">
        <v>1435</v>
      </c>
      <c r="D398" t="s">
        <v>1436</v>
      </c>
      <c r="E398" t="s">
        <v>1437</v>
      </c>
      <c r="F398" t="s">
        <v>596</v>
      </c>
      <c r="G398" t="s">
        <v>1438</v>
      </c>
      <c r="H398" t="s">
        <v>554</v>
      </c>
      <c r="I398" t="s">
        <v>27</v>
      </c>
    </row>
    <row r="399" spans="1:9" ht="11.25" customHeight="1" x14ac:dyDescent="0.3">
      <c r="A399" t="s">
        <v>548</v>
      </c>
      <c r="B399" t="s">
        <v>174</v>
      </c>
      <c r="C399" t="s">
        <v>809</v>
      </c>
      <c r="D399" t="s">
        <v>810</v>
      </c>
      <c r="E399" t="s">
        <v>811</v>
      </c>
      <c r="F399" t="s">
        <v>812</v>
      </c>
      <c r="G399" t="s">
        <v>813</v>
      </c>
      <c r="H399" t="s">
        <v>554</v>
      </c>
      <c r="I399" t="s">
        <v>27</v>
      </c>
    </row>
    <row r="400" spans="1:9" ht="11.25" customHeight="1" x14ac:dyDescent="0.3">
      <c r="A400" t="s">
        <v>548</v>
      </c>
      <c r="B400" t="s">
        <v>174</v>
      </c>
      <c r="C400" t="s">
        <v>822</v>
      </c>
      <c r="D400" t="s">
        <v>823</v>
      </c>
      <c r="E400" t="s">
        <v>824</v>
      </c>
      <c r="F400" t="s">
        <v>825</v>
      </c>
      <c r="G400" t="s">
        <v>826</v>
      </c>
      <c r="H400" t="s">
        <v>554</v>
      </c>
      <c r="I400" t="s">
        <v>27</v>
      </c>
    </row>
    <row r="401" spans="1:9" ht="11.25" customHeight="1" x14ac:dyDescent="0.3">
      <c r="A401" t="s">
        <v>548</v>
      </c>
      <c r="B401" t="s">
        <v>174</v>
      </c>
      <c r="C401" t="s">
        <v>1450</v>
      </c>
      <c r="D401" t="s">
        <v>1451</v>
      </c>
      <c r="E401" t="s">
        <v>1452</v>
      </c>
      <c r="F401" t="s">
        <v>596</v>
      </c>
      <c r="G401" t="s">
        <v>554</v>
      </c>
      <c r="H401" t="s">
        <v>554</v>
      </c>
      <c r="I401" t="s">
        <v>27</v>
      </c>
    </row>
    <row r="402" spans="1:9" ht="11.25" customHeight="1" x14ac:dyDescent="0.3">
      <c r="A402" t="s">
        <v>548</v>
      </c>
      <c r="B402" t="s">
        <v>174</v>
      </c>
      <c r="C402" t="s">
        <v>1651</v>
      </c>
      <c r="D402" t="s">
        <v>1652</v>
      </c>
      <c r="E402" t="s">
        <v>1653</v>
      </c>
      <c r="F402" t="s">
        <v>1081</v>
      </c>
      <c r="G402" t="s">
        <v>1654</v>
      </c>
      <c r="H402" t="s">
        <v>554</v>
      </c>
      <c r="I402" t="s">
        <v>27</v>
      </c>
    </row>
    <row r="403" spans="1:9" ht="11.25" customHeight="1" x14ac:dyDescent="0.3">
      <c r="A403" t="s">
        <v>548</v>
      </c>
      <c r="B403" t="s">
        <v>174</v>
      </c>
      <c r="C403" t="s">
        <v>1457</v>
      </c>
      <c r="D403" t="s">
        <v>1458</v>
      </c>
      <c r="E403" t="s">
        <v>1459</v>
      </c>
      <c r="F403" t="s">
        <v>638</v>
      </c>
      <c r="G403" t="s">
        <v>1460</v>
      </c>
      <c r="H403" t="s">
        <v>554</v>
      </c>
      <c r="I403" t="s">
        <v>27</v>
      </c>
    </row>
    <row r="404" spans="1:9" ht="11.25" customHeight="1" x14ac:dyDescent="0.3">
      <c r="A404" t="s">
        <v>548</v>
      </c>
      <c r="B404" t="s">
        <v>174</v>
      </c>
      <c r="C404" t="s">
        <v>858</v>
      </c>
      <c r="D404" t="s">
        <v>859</v>
      </c>
      <c r="E404" t="s">
        <v>860</v>
      </c>
      <c r="F404" t="s">
        <v>761</v>
      </c>
      <c r="G404" t="s">
        <v>861</v>
      </c>
      <c r="H404" t="s">
        <v>554</v>
      </c>
      <c r="I404" t="s">
        <v>27</v>
      </c>
    </row>
    <row r="405" spans="1:9" ht="11.25" customHeight="1" x14ac:dyDescent="0.3">
      <c r="A405" t="s">
        <v>548</v>
      </c>
      <c r="B405" t="s">
        <v>174</v>
      </c>
      <c r="C405" t="s">
        <v>862</v>
      </c>
      <c r="D405" t="s">
        <v>863</v>
      </c>
      <c r="E405" t="s">
        <v>864</v>
      </c>
      <c r="F405" t="s">
        <v>865</v>
      </c>
      <c r="G405" t="s">
        <v>866</v>
      </c>
      <c r="H405" t="s">
        <v>554</v>
      </c>
      <c r="I405" t="s">
        <v>27</v>
      </c>
    </row>
    <row r="406" spans="1:9" ht="11.25" customHeight="1" x14ac:dyDescent="0.3">
      <c r="A406" t="s">
        <v>548</v>
      </c>
      <c r="B406" t="s">
        <v>174</v>
      </c>
      <c r="C406" t="s">
        <v>1465</v>
      </c>
      <c r="D406" t="s">
        <v>1466</v>
      </c>
      <c r="E406" t="s">
        <v>1467</v>
      </c>
      <c r="F406" t="s">
        <v>918</v>
      </c>
      <c r="G406" t="s">
        <v>554</v>
      </c>
      <c r="H406" t="s">
        <v>554</v>
      </c>
      <c r="I406" t="s">
        <v>27</v>
      </c>
    </row>
    <row r="407" spans="1:9" ht="11.25" customHeight="1" x14ac:dyDescent="0.3">
      <c r="A407" t="s">
        <v>548</v>
      </c>
      <c r="B407" t="s">
        <v>174</v>
      </c>
      <c r="C407" t="s">
        <v>912</v>
      </c>
      <c r="D407" t="s">
        <v>913</v>
      </c>
      <c r="E407" t="s">
        <v>914</v>
      </c>
      <c r="F407" t="s">
        <v>721</v>
      </c>
      <c r="G407" t="s">
        <v>554</v>
      </c>
      <c r="H407" t="s">
        <v>554</v>
      </c>
      <c r="I407" t="s">
        <v>27</v>
      </c>
    </row>
    <row r="408" spans="1:9" ht="11.25" customHeight="1" x14ac:dyDescent="0.3">
      <c r="A408" t="s">
        <v>548</v>
      </c>
      <c r="B408" t="s">
        <v>174</v>
      </c>
      <c r="C408" t="s">
        <v>1474</v>
      </c>
      <c r="D408" t="s">
        <v>1475</v>
      </c>
      <c r="E408" t="s">
        <v>1476</v>
      </c>
      <c r="F408" t="s">
        <v>794</v>
      </c>
      <c r="G408" t="s">
        <v>554</v>
      </c>
      <c r="H408" t="s">
        <v>554</v>
      </c>
      <c r="I408" t="s">
        <v>27</v>
      </c>
    </row>
    <row r="409" spans="1:9" ht="11.25" customHeight="1" x14ac:dyDescent="0.3">
      <c r="A409" t="s">
        <v>548</v>
      </c>
      <c r="B409" t="s">
        <v>174</v>
      </c>
      <c r="C409" t="s">
        <v>936</v>
      </c>
      <c r="D409" t="s">
        <v>937</v>
      </c>
      <c r="E409" t="s">
        <v>938</v>
      </c>
      <c r="F409" t="s">
        <v>588</v>
      </c>
      <c r="G409" t="s">
        <v>554</v>
      </c>
      <c r="H409" t="s">
        <v>554</v>
      </c>
      <c r="I409" t="s">
        <v>27</v>
      </c>
    </row>
    <row r="410" spans="1:9" ht="11.25" customHeight="1" x14ac:dyDescent="0.3">
      <c r="A410" t="s">
        <v>548</v>
      </c>
      <c r="B410" t="s">
        <v>174</v>
      </c>
      <c r="C410" t="s">
        <v>1655</v>
      </c>
      <c r="D410" t="s">
        <v>1656</v>
      </c>
      <c r="E410" t="s">
        <v>1657</v>
      </c>
      <c r="F410" t="s">
        <v>756</v>
      </c>
      <c r="G410" t="s">
        <v>554</v>
      </c>
      <c r="H410" t="s">
        <v>554</v>
      </c>
      <c r="I410" t="s">
        <v>27</v>
      </c>
    </row>
    <row r="411" spans="1:9" ht="11.25" customHeight="1" x14ac:dyDescent="0.3">
      <c r="A411" t="s">
        <v>548</v>
      </c>
      <c r="B411" t="s">
        <v>174</v>
      </c>
      <c r="C411" t="s">
        <v>1487</v>
      </c>
      <c r="D411" t="s">
        <v>1488</v>
      </c>
      <c r="E411" t="s">
        <v>1489</v>
      </c>
      <c r="F411" t="s">
        <v>825</v>
      </c>
      <c r="G411" t="s">
        <v>554</v>
      </c>
      <c r="H411" t="s">
        <v>554</v>
      </c>
      <c r="I411" t="s">
        <v>27</v>
      </c>
    </row>
    <row r="412" spans="1:9" ht="11.25" customHeight="1" x14ac:dyDescent="0.3">
      <c r="A412" t="s">
        <v>548</v>
      </c>
      <c r="B412" t="s">
        <v>174</v>
      </c>
      <c r="C412" t="s">
        <v>1658</v>
      </c>
      <c r="D412" t="s">
        <v>1659</v>
      </c>
      <c r="E412" t="s">
        <v>1660</v>
      </c>
      <c r="F412" t="s">
        <v>596</v>
      </c>
      <c r="G412" t="s">
        <v>554</v>
      </c>
      <c r="H412" t="s">
        <v>554</v>
      </c>
      <c r="I412" t="s">
        <v>27</v>
      </c>
    </row>
    <row r="413" spans="1:9" ht="11.25" customHeight="1" x14ac:dyDescent="0.3">
      <c r="A413" t="s">
        <v>548</v>
      </c>
      <c r="B413" t="s">
        <v>174</v>
      </c>
      <c r="C413" t="s">
        <v>1498</v>
      </c>
      <c r="D413" t="s">
        <v>1499</v>
      </c>
      <c r="E413" t="s">
        <v>1500</v>
      </c>
      <c r="F413" t="s">
        <v>671</v>
      </c>
      <c r="G413" t="s">
        <v>554</v>
      </c>
      <c r="H413" t="s">
        <v>554</v>
      </c>
      <c r="I413" t="s">
        <v>27</v>
      </c>
    </row>
    <row r="414" spans="1:9" ht="11.25" customHeight="1" x14ac:dyDescent="0.3">
      <c r="A414" t="s">
        <v>548</v>
      </c>
      <c r="B414" t="s">
        <v>174</v>
      </c>
      <c r="C414" t="s">
        <v>1501</v>
      </c>
      <c r="D414" t="s">
        <v>1499</v>
      </c>
      <c r="E414" t="s">
        <v>1502</v>
      </c>
      <c r="F414" t="s">
        <v>918</v>
      </c>
      <c r="G414" t="s">
        <v>554</v>
      </c>
      <c r="H414" t="s">
        <v>554</v>
      </c>
      <c r="I414" t="s">
        <v>27</v>
      </c>
    </row>
    <row r="415" spans="1:9" ht="11.25" customHeight="1" x14ac:dyDescent="0.3">
      <c r="A415" t="s">
        <v>548</v>
      </c>
      <c r="B415" t="s">
        <v>174</v>
      </c>
      <c r="C415" t="s">
        <v>1511</v>
      </c>
      <c r="D415" t="s">
        <v>1512</v>
      </c>
      <c r="E415" t="s">
        <v>1513</v>
      </c>
      <c r="F415" t="s">
        <v>596</v>
      </c>
      <c r="G415" t="s">
        <v>554</v>
      </c>
      <c r="H415" t="s">
        <v>554</v>
      </c>
      <c r="I415" t="s">
        <v>27</v>
      </c>
    </row>
    <row r="416" spans="1:9" ht="11.25" customHeight="1" x14ac:dyDescent="0.3">
      <c r="A416" t="s">
        <v>548</v>
      </c>
      <c r="B416" t="s">
        <v>174</v>
      </c>
      <c r="C416" t="s">
        <v>1514</v>
      </c>
      <c r="D416" t="s">
        <v>1515</v>
      </c>
      <c r="E416" t="s">
        <v>1516</v>
      </c>
      <c r="F416" t="s">
        <v>596</v>
      </c>
      <c r="G416" t="s">
        <v>1517</v>
      </c>
      <c r="H416" t="s">
        <v>554</v>
      </c>
      <c r="I416" t="s">
        <v>27</v>
      </c>
    </row>
    <row r="417" spans="1:9" ht="11.25" customHeight="1" x14ac:dyDescent="0.3">
      <c r="A417" t="s">
        <v>548</v>
      </c>
      <c r="B417" t="s">
        <v>174</v>
      </c>
      <c r="C417" t="s">
        <v>1661</v>
      </c>
      <c r="D417" t="s">
        <v>1662</v>
      </c>
      <c r="E417" t="s">
        <v>1663</v>
      </c>
      <c r="F417" t="s">
        <v>812</v>
      </c>
      <c r="G417" t="s">
        <v>1664</v>
      </c>
      <c r="H417" t="s">
        <v>554</v>
      </c>
      <c r="I417" t="s">
        <v>27</v>
      </c>
    </row>
    <row r="418" spans="1:9" ht="11.25" customHeight="1" x14ac:dyDescent="0.3">
      <c r="A418" t="s">
        <v>548</v>
      </c>
      <c r="B418" t="s">
        <v>174</v>
      </c>
      <c r="C418" t="s">
        <v>990</v>
      </c>
      <c r="D418" t="s">
        <v>991</v>
      </c>
      <c r="E418" t="s">
        <v>992</v>
      </c>
      <c r="F418" t="s">
        <v>596</v>
      </c>
      <c r="G418" t="s">
        <v>993</v>
      </c>
      <c r="H418" t="s">
        <v>554</v>
      </c>
      <c r="I418" t="s">
        <v>27</v>
      </c>
    </row>
    <row r="419" spans="1:9" ht="11.25" customHeight="1" x14ac:dyDescent="0.3">
      <c r="A419" t="s">
        <v>548</v>
      </c>
      <c r="B419" t="s">
        <v>174</v>
      </c>
      <c r="C419" t="s">
        <v>1524</v>
      </c>
      <c r="D419" t="s">
        <v>1525</v>
      </c>
      <c r="E419" t="s">
        <v>1526</v>
      </c>
      <c r="F419" t="s">
        <v>572</v>
      </c>
      <c r="G419" t="s">
        <v>554</v>
      </c>
      <c r="H419" t="s">
        <v>554</v>
      </c>
      <c r="I419" t="s">
        <v>27</v>
      </c>
    </row>
    <row r="420" spans="1:9" ht="11.25" customHeight="1" x14ac:dyDescent="0.3">
      <c r="A420" t="s">
        <v>548</v>
      </c>
      <c r="B420" t="s">
        <v>174</v>
      </c>
      <c r="C420" t="s">
        <v>1665</v>
      </c>
      <c r="D420" t="s">
        <v>1666</v>
      </c>
      <c r="E420" t="s">
        <v>1667</v>
      </c>
      <c r="F420" t="s">
        <v>651</v>
      </c>
      <c r="G420" t="s">
        <v>1668</v>
      </c>
      <c r="H420" t="s">
        <v>554</v>
      </c>
      <c r="I420" t="s">
        <v>27</v>
      </c>
    </row>
    <row r="421" spans="1:9" ht="11.25" customHeight="1" x14ac:dyDescent="0.3">
      <c r="A421" t="s">
        <v>548</v>
      </c>
      <c r="B421" t="s">
        <v>174</v>
      </c>
      <c r="C421" t="s">
        <v>1004</v>
      </c>
      <c r="D421" t="s">
        <v>1005</v>
      </c>
      <c r="E421" t="s">
        <v>1006</v>
      </c>
      <c r="F421" t="s">
        <v>563</v>
      </c>
      <c r="G421" t="s">
        <v>1007</v>
      </c>
      <c r="H421" t="s">
        <v>554</v>
      </c>
      <c r="I421" t="s">
        <v>27</v>
      </c>
    </row>
    <row r="422" spans="1:9" ht="11.25" customHeight="1" x14ac:dyDescent="0.3">
      <c r="A422" t="s">
        <v>548</v>
      </c>
      <c r="B422" t="s">
        <v>174</v>
      </c>
      <c r="C422" t="s">
        <v>1546</v>
      </c>
      <c r="D422" t="s">
        <v>1547</v>
      </c>
      <c r="E422" t="s">
        <v>1548</v>
      </c>
      <c r="F422" t="s">
        <v>596</v>
      </c>
      <c r="G422" t="s">
        <v>554</v>
      </c>
      <c r="H422" t="s">
        <v>554</v>
      </c>
      <c r="I422" t="s">
        <v>27</v>
      </c>
    </row>
    <row r="423" spans="1:9" ht="11.25" customHeight="1" x14ac:dyDescent="0.3">
      <c r="A423" t="s">
        <v>548</v>
      </c>
      <c r="B423" t="s">
        <v>174</v>
      </c>
      <c r="C423" t="s">
        <v>1669</v>
      </c>
      <c r="D423" t="s">
        <v>1670</v>
      </c>
      <c r="E423" t="s">
        <v>1671</v>
      </c>
      <c r="F423" t="s">
        <v>700</v>
      </c>
      <c r="G423" t="s">
        <v>554</v>
      </c>
      <c r="H423" t="s">
        <v>554</v>
      </c>
      <c r="I423" t="s">
        <v>27</v>
      </c>
    </row>
    <row r="424" spans="1:9" ht="11.25" customHeight="1" x14ac:dyDescent="0.3">
      <c r="A424" t="s">
        <v>548</v>
      </c>
      <c r="B424" t="s">
        <v>174</v>
      </c>
      <c r="C424" t="s">
        <v>1672</v>
      </c>
      <c r="D424" t="s">
        <v>1673</v>
      </c>
      <c r="E424" t="s">
        <v>1674</v>
      </c>
      <c r="F424" t="s">
        <v>596</v>
      </c>
      <c r="G424" t="s">
        <v>1675</v>
      </c>
      <c r="H424" t="s">
        <v>554</v>
      </c>
      <c r="I424" t="s">
        <v>27</v>
      </c>
    </row>
    <row r="425" spans="1:9" ht="11.25" customHeight="1" x14ac:dyDescent="0.3">
      <c r="A425" t="s">
        <v>548</v>
      </c>
      <c r="B425" t="s">
        <v>174</v>
      </c>
      <c r="C425" t="s">
        <v>1027</v>
      </c>
      <c r="D425" t="s">
        <v>1028</v>
      </c>
      <c r="E425" t="s">
        <v>1029</v>
      </c>
      <c r="F425" t="s">
        <v>572</v>
      </c>
      <c r="G425" t="s">
        <v>554</v>
      </c>
      <c r="H425" t="s">
        <v>554</v>
      </c>
      <c r="I425" t="s">
        <v>27</v>
      </c>
    </row>
    <row r="426" spans="1:9" ht="11.25" customHeight="1" x14ac:dyDescent="0.3">
      <c r="A426" t="s">
        <v>548</v>
      </c>
      <c r="B426" t="s">
        <v>174</v>
      </c>
      <c r="C426" t="s">
        <v>1034</v>
      </c>
      <c r="D426" t="s">
        <v>1035</v>
      </c>
      <c r="E426" t="s">
        <v>1036</v>
      </c>
      <c r="F426" t="s">
        <v>1037</v>
      </c>
      <c r="G426" t="s">
        <v>1038</v>
      </c>
      <c r="H426" t="s">
        <v>554</v>
      </c>
      <c r="I426" t="s">
        <v>27</v>
      </c>
    </row>
    <row r="427" spans="1:9" ht="11.25" customHeight="1" x14ac:dyDescent="0.3">
      <c r="A427" t="s">
        <v>548</v>
      </c>
      <c r="B427" t="s">
        <v>174</v>
      </c>
      <c r="C427" t="s">
        <v>1058</v>
      </c>
      <c r="D427" t="s">
        <v>1059</v>
      </c>
      <c r="E427" t="s">
        <v>1060</v>
      </c>
      <c r="F427" t="s">
        <v>1061</v>
      </c>
      <c r="G427" t="s">
        <v>554</v>
      </c>
      <c r="H427" t="s">
        <v>554</v>
      </c>
      <c r="I427" t="s">
        <v>27</v>
      </c>
    </row>
    <row r="428" spans="1:9" ht="11.25" customHeight="1" x14ac:dyDescent="0.3">
      <c r="A428" t="s">
        <v>548</v>
      </c>
      <c r="B428" t="s">
        <v>174</v>
      </c>
      <c r="C428" t="s">
        <v>1062</v>
      </c>
      <c r="D428" t="s">
        <v>1063</v>
      </c>
      <c r="E428" t="s">
        <v>1064</v>
      </c>
      <c r="F428" t="s">
        <v>572</v>
      </c>
      <c r="G428" t="s">
        <v>554</v>
      </c>
      <c r="H428" t="s">
        <v>554</v>
      </c>
      <c r="I428" t="s">
        <v>27</v>
      </c>
    </row>
    <row r="429" spans="1:9" ht="11.25" customHeight="1" x14ac:dyDescent="0.3">
      <c r="A429" t="s">
        <v>548</v>
      </c>
      <c r="B429" t="s">
        <v>174</v>
      </c>
      <c r="C429" t="s">
        <v>1570</v>
      </c>
      <c r="D429" t="s">
        <v>1571</v>
      </c>
      <c r="E429" t="s">
        <v>1572</v>
      </c>
      <c r="F429" t="s">
        <v>563</v>
      </c>
      <c r="G429" t="s">
        <v>1573</v>
      </c>
      <c r="H429" t="s">
        <v>554</v>
      </c>
      <c r="I429" t="s">
        <v>27</v>
      </c>
    </row>
    <row r="430" spans="1:9" ht="11.25" customHeight="1" x14ac:dyDescent="0.3">
      <c r="A430" t="s">
        <v>548</v>
      </c>
      <c r="B430" t="s">
        <v>174</v>
      </c>
      <c r="C430" t="s">
        <v>1676</v>
      </c>
      <c r="D430" t="s">
        <v>1677</v>
      </c>
      <c r="E430" t="s">
        <v>1678</v>
      </c>
      <c r="F430" t="s">
        <v>1081</v>
      </c>
      <c r="G430" t="s">
        <v>1679</v>
      </c>
      <c r="H430" t="s">
        <v>554</v>
      </c>
      <c r="I430" t="s">
        <v>27</v>
      </c>
    </row>
    <row r="431" spans="1:9" ht="11.25" customHeight="1" x14ac:dyDescent="0.3">
      <c r="A431" t="s">
        <v>548</v>
      </c>
      <c r="B431" t="s">
        <v>174</v>
      </c>
      <c r="C431" t="s">
        <v>1076</v>
      </c>
      <c r="D431" t="s">
        <v>1073</v>
      </c>
      <c r="E431" t="s">
        <v>1077</v>
      </c>
      <c r="F431" t="s">
        <v>878</v>
      </c>
      <c r="G431" t="s">
        <v>554</v>
      </c>
      <c r="H431" t="s">
        <v>554</v>
      </c>
      <c r="I431" t="s">
        <v>27</v>
      </c>
    </row>
    <row r="432" spans="1:9" ht="11.25" customHeight="1" x14ac:dyDescent="0.3">
      <c r="A432" t="s">
        <v>548</v>
      </c>
      <c r="B432" t="s">
        <v>174</v>
      </c>
      <c r="C432" t="s">
        <v>1680</v>
      </c>
      <c r="D432" t="s">
        <v>1681</v>
      </c>
      <c r="E432" t="s">
        <v>1682</v>
      </c>
      <c r="F432" t="s">
        <v>651</v>
      </c>
      <c r="G432" t="s">
        <v>1683</v>
      </c>
      <c r="H432" t="s">
        <v>554</v>
      </c>
      <c r="I432" t="s">
        <v>27</v>
      </c>
    </row>
    <row r="433" spans="1:9" ht="11.25" customHeight="1" x14ac:dyDescent="0.3">
      <c r="A433" t="s">
        <v>548</v>
      </c>
      <c r="B433" t="s">
        <v>174</v>
      </c>
      <c r="C433" t="s">
        <v>1684</v>
      </c>
      <c r="D433" t="s">
        <v>1681</v>
      </c>
      <c r="E433" t="s">
        <v>1685</v>
      </c>
      <c r="F433" t="s">
        <v>812</v>
      </c>
      <c r="G433" t="s">
        <v>1686</v>
      </c>
      <c r="H433" t="s">
        <v>554</v>
      </c>
      <c r="I433" t="s">
        <v>27</v>
      </c>
    </row>
    <row r="434" spans="1:9" ht="11.25" customHeight="1" x14ac:dyDescent="0.3">
      <c r="A434" t="s">
        <v>548</v>
      </c>
      <c r="B434" t="s">
        <v>174</v>
      </c>
      <c r="C434" t="s">
        <v>1687</v>
      </c>
      <c r="D434" t="s">
        <v>1688</v>
      </c>
      <c r="E434" t="s">
        <v>1689</v>
      </c>
      <c r="F434" t="s">
        <v>638</v>
      </c>
      <c r="G434" t="s">
        <v>1690</v>
      </c>
      <c r="H434" t="s">
        <v>554</v>
      </c>
      <c r="I434" t="s">
        <v>27</v>
      </c>
    </row>
    <row r="435" spans="1:9" ht="11.25" customHeight="1" x14ac:dyDescent="0.3">
      <c r="A435" t="s">
        <v>548</v>
      </c>
      <c r="B435" t="s">
        <v>174</v>
      </c>
      <c r="C435" t="s">
        <v>1691</v>
      </c>
      <c r="D435" t="s">
        <v>1692</v>
      </c>
      <c r="E435" t="s">
        <v>1693</v>
      </c>
      <c r="F435" t="s">
        <v>596</v>
      </c>
      <c r="G435" t="s">
        <v>1694</v>
      </c>
      <c r="H435" t="s">
        <v>554</v>
      </c>
      <c r="I435" t="s">
        <v>27</v>
      </c>
    </row>
    <row r="436" spans="1:9" ht="11.25" customHeight="1" x14ac:dyDescent="0.3">
      <c r="A436" t="s">
        <v>548</v>
      </c>
      <c r="B436" t="s">
        <v>174</v>
      </c>
      <c r="C436" t="s">
        <v>1191</v>
      </c>
      <c r="D436" t="s">
        <v>1192</v>
      </c>
      <c r="E436" t="s">
        <v>1193</v>
      </c>
      <c r="F436" t="s">
        <v>596</v>
      </c>
      <c r="G436" t="s">
        <v>1194</v>
      </c>
      <c r="H436" t="s">
        <v>554</v>
      </c>
      <c r="I436" t="s">
        <v>27</v>
      </c>
    </row>
    <row r="437" spans="1:9" ht="11.25" customHeight="1" x14ac:dyDescent="0.3">
      <c r="A437" t="s">
        <v>548</v>
      </c>
      <c r="B437" t="s">
        <v>174</v>
      </c>
      <c r="C437" t="s">
        <v>1695</v>
      </c>
      <c r="D437" t="s">
        <v>1696</v>
      </c>
      <c r="E437" t="s">
        <v>1697</v>
      </c>
      <c r="F437" t="s">
        <v>596</v>
      </c>
      <c r="G437" t="s">
        <v>1167</v>
      </c>
      <c r="H437" t="s">
        <v>554</v>
      </c>
      <c r="I437" t="s">
        <v>27</v>
      </c>
    </row>
    <row r="438" spans="1:9" ht="11.25" customHeight="1" x14ac:dyDescent="0.3">
      <c r="A438" t="s">
        <v>548</v>
      </c>
      <c r="B438" t="s">
        <v>174</v>
      </c>
      <c r="C438" t="s">
        <v>1602</v>
      </c>
      <c r="D438" t="s">
        <v>1603</v>
      </c>
      <c r="E438" t="s">
        <v>1604</v>
      </c>
      <c r="F438" t="s">
        <v>596</v>
      </c>
      <c r="G438" t="s">
        <v>554</v>
      </c>
      <c r="H438" t="s">
        <v>554</v>
      </c>
      <c r="I438" t="s">
        <v>27</v>
      </c>
    </row>
    <row r="439" spans="1:9" ht="11.25" customHeight="1" x14ac:dyDescent="0.3">
      <c r="A439" t="s">
        <v>548</v>
      </c>
      <c r="B439" t="s">
        <v>174</v>
      </c>
      <c r="C439" t="s">
        <v>1215</v>
      </c>
      <c r="D439" t="s">
        <v>1216</v>
      </c>
      <c r="E439" t="s">
        <v>1217</v>
      </c>
      <c r="F439" t="s">
        <v>794</v>
      </c>
      <c r="G439" t="s">
        <v>1218</v>
      </c>
      <c r="H439" t="s">
        <v>554</v>
      </c>
      <c r="I439" t="s">
        <v>27</v>
      </c>
    </row>
    <row r="440" spans="1:9" ht="11.25" customHeight="1" x14ac:dyDescent="0.3">
      <c r="A440" t="s">
        <v>548</v>
      </c>
      <c r="B440" t="s">
        <v>174</v>
      </c>
      <c r="C440" t="s">
        <v>1605</v>
      </c>
      <c r="D440" t="s">
        <v>1606</v>
      </c>
      <c r="E440" t="s">
        <v>1607</v>
      </c>
      <c r="F440" t="s">
        <v>596</v>
      </c>
      <c r="G440" t="s">
        <v>1608</v>
      </c>
      <c r="H440" t="s">
        <v>554</v>
      </c>
      <c r="I440" t="s">
        <v>27</v>
      </c>
    </row>
    <row r="441" spans="1:9" ht="11.25" customHeight="1" x14ac:dyDescent="0.3">
      <c r="A441" t="s">
        <v>548</v>
      </c>
      <c r="B441" t="s">
        <v>174</v>
      </c>
      <c r="C441" t="s">
        <v>1698</v>
      </c>
      <c r="D441" t="s">
        <v>1699</v>
      </c>
      <c r="E441" t="s">
        <v>1700</v>
      </c>
      <c r="F441" t="s">
        <v>563</v>
      </c>
      <c r="G441" t="s">
        <v>554</v>
      </c>
      <c r="H441" t="s">
        <v>554</v>
      </c>
      <c r="I441" t="s">
        <v>27</v>
      </c>
    </row>
    <row r="442" spans="1:9" ht="11.25" customHeight="1" x14ac:dyDescent="0.3">
      <c r="A442" t="s">
        <v>548</v>
      </c>
      <c r="B442" t="s">
        <v>174</v>
      </c>
      <c r="C442" t="s">
        <v>1701</v>
      </c>
      <c r="D442" t="s">
        <v>1702</v>
      </c>
      <c r="E442" t="s">
        <v>1703</v>
      </c>
      <c r="F442" t="s">
        <v>651</v>
      </c>
      <c r="G442" t="s">
        <v>1704</v>
      </c>
      <c r="H442" t="s">
        <v>554</v>
      </c>
      <c r="I442" t="s">
        <v>27</v>
      </c>
    </row>
    <row r="443" spans="1:9" ht="11.25" customHeight="1" x14ac:dyDescent="0.3">
      <c r="A443" t="s">
        <v>548</v>
      </c>
      <c r="B443" t="s">
        <v>174</v>
      </c>
      <c r="C443" t="s">
        <v>1609</v>
      </c>
      <c r="D443" t="s">
        <v>1610</v>
      </c>
      <c r="E443" t="s">
        <v>1611</v>
      </c>
      <c r="F443" t="s">
        <v>1612</v>
      </c>
      <c r="G443" t="s">
        <v>1613</v>
      </c>
      <c r="H443" t="s">
        <v>554</v>
      </c>
      <c r="I443" t="s">
        <v>27</v>
      </c>
    </row>
    <row r="444" spans="1:9" ht="11.25" customHeight="1" x14ac:dyDescent="0.3">
      <c r="A444" t="s">
        <v>548</v>
      </c>
      <c r="B444" t="s">
        <v>174</v>
      </c>
      <c r="C444" t="s">
        <v>1270</v>
      </c>
      <c r="D444" t="s">
        <v>1271</v>
      </c>
      <c r="E444" t="s">
        <v>1272</v>
      </c>
      <c r="F444" t="s">
        <v>1273</v>
      </c>
      <c r="G444" t="s">
        <v>554</v>
      </c>
      <c r="H444" t="s">
        <v>554</v>
      </c>
      <c r="I444" t="s">
        <v>27</v>
      </c>
    </row>
    <row r="445" spans="1:9" ht="11.25" customHeight="1" x14ac:dyDescent="0.3">
      <c r="A445" t="s">
        <v>548</v>
      </c>
      <c r="B445" t="s">
        <v>174</v>
      </c>
      <c r="C445" t="s">
        <v>549</v>
      </c>
      <c r="D445" t="s">
        <v>550</v>
      </c>
      <c r="E445" t="s">
        <v>551</v>
      </c>
      <c r="F445" t="s">
        <v>552</v>
      </c>
      <c r="G445" t="s">
        <v>553</v>
      </c>
      <c r="H445" t="s">
        <v>554</v>
      </c>
      <c r="I445" t="s">
        <v>85</v>
      </c>
    </row>
    <row r="446" spans="1:9" ht="11.25" customHeight="1" x14ac:dyDescent="0.3">
      <c r="A446" t="s">
        <v>548</v>
      </c>
      <c r="B446" t="s">
        <v>174</v>
      </c>
      <c r="C446" t="s">
        <v>1283</v>
      </c>
      <c r="D446" t="s">
        <v>1284</v>
      </c>
      <c r="E446" t="s">
        <v>1285</v>
      </c>
      <c r="F446" t="s">
        <v>584</v>
      </c>
      <c r="G446" t="s">
        <v>554</v>
      </c>
      <c r="H446" t="s">
        <v>554</v>
      </c>
      <c r="I446" t="s">
        <v>85</v>
      </c>
    </row>
    <row r="447" spans="1:9" ht="11.25" customHeight="1" x14ac:dyDescent="0.3">
      <c r="A447" t="s">
        <v>548</v>
      </c>
      <c r="B447" t="s">
        <v>174</v>
      </c>
      <c r="C447" t="s">
        <v>1705</v>
      </c>
      <c r="D447" t="s">
        <v>1706</v>
      </c>
      <c r="E447" t="s">
        <v>1707</v>
      </c>
      <c r="F447" t="s">
        <v>1708</v>
      </c>
      <c r="G447" t="s">
        <v>554</v>
      </c>
      <c r="H447" t="s">
        <v>554</v>
      </c>
      <c r="I447" t="s">
        <v>85</v>
      </c>
    </row>
    <row r="448" spans="1:9" ht="11.25" customHeight="1" x14ac:dyDescent="0.3">
      <c r="A448" t="s">
        <v>548</v>
      </c>
      <c r="B448" t="s">
        <v>174</v>
      </c>
      <c r="C448" t="s">
        <v>560</v>
      </c>
      <c r="D448" t="s">
        <v>561</v>
      </c>
      <c r="E448" t="s">
        <v>562</v>
      </c>
      <c r="F448" t="s">
        <v>563</v>
      </c>
      <c r="G448" t="s">
        <v>554</v>
      </c>
      <c r="H448" t="s">
        <v>554</v>
      </c>
      <c r="I448" t="s">
        <v>85</v>
      </c>
    </row>
    <row r="449" spans="1:9" ht="11.25" customHeight="1" x14ac:dyDescent="0.3">
      <c r="A449" t="s">
        <v>548</v>
      </c>
      <c r="B449" t="s">
        <v>174</v>
      </c>
      <c r="C449" t="s">
        <v>1709</v>
      </c>
      <c r="D449" t="s">
        <v>1710</v>
      </c>
      <c r="E449" t="s">
        <v>1711</v>
      </c>
      <c r="F449" t="s">
        <v>1712</v>
      </c>
      <c r="G449" t="s">
        <v>554</v>
      </c>
      <c r="H449" t="s">
        <v>554</v>
      </c>
      <c r="I449" t="s">
        <v>85</v>
      </c>
    </row>
    <row r="450" spans="1:9" ht="11.25" customHeight="1" x14ac:dyDescent="0.3">
      <c r="A450" t="s">
        <v>548</v>
      </c>
      <c r="B450" t="s">
        <v>174</v>
      </c>
      <c r="C450" t="s">
        <v>1295</v>
      </c>
      <c r="D450" t="s">
        <v>1296</v>
      </c>
      <c r="E450" t="s">
        <v>1297</v>
      </c>
      <c r="F450" t="s">
        <v>584</v>
      </c>
      <c r="G450" t="s">
        <v>1298</v>
      </c>
      <c r="H450" t="s">
        <v>554</v>
      </c>
      <c r="I450" t="s">
        <v>85</v>
      </c>
    </row>
    <row r="451" spans="1:9" ht="11.25" customHeight="1" x14ac:dyDescent="0.3">
      <c r="A451" t="s">
        <v>548</v>
      </c>
      <c r="B451" t="s">
        <v>174</v>
      </c>
      <c r="C451" t="s">
        <v>573</v>
      </c>
      <c r="D451" t="s">
        <v>574</v>
      </c>
      <c r="E451" t="s">
        <v>575</v>
      </c>
      <c r="F451" t="s">
        <v>576</v>
      </c>
      <c r="G451" t="s">
        <v>577</v>
      </c>
      <c r="H451" t="s">
        <v>554</v>
      </c>
      <c r="I451" t="s">
        <v>85</v>
      </c>
    </row>
    <row r="452" spans="1:9" ht="11.25" customHeight="1" x14ac:dyDescent="0.3">
      <c r="A452" t="s">
        <v>548</v>
      </c>
      <c r="B452" t="s">
        <v>174</v>
      </c>
      <c r="C452" t="s">
        <v>1713</v>
      </c>
      <c r="D452" t="s">
        <v>1714</v>
      </c>
      <c r="E452" t="s">
        <v>1715</v>
      </c>
      <c r="F452" t="s">
        <v>1716</v>
      </c>
      <c r="G452" t="s">
        <v>1717</v>
      </c>
      <c r="H452" t="s">
        <v>554</v>
      </c>
      <c r="I452" t="s">
        <v>85</v>
      </c>
    </row>
    <row r="453" spans="1:9" ht="11.25" customHeight="1" x14ac:dyDescent="0.3">
      <c r="A453" t="s">
        <v>548</v>
      </c>
      <c r="B453" t="s">
        <v>174</v>
      </c>
      <c r="C453" t="s">
        <v>581</v>
      </c>
      <c r="D453" t="s">
        <v>582</v>
      </c>
      <c r="E453" t="s">
        <v>583</v>
      </c>
      <c r="F453" t="s">
        <v>584</v>
      </c>
      <c r="G453" t="s">
        <v>554</v>
      </c>
      <c r="H453" t="s">
        <v>554</v>
      </c>
      <c r="I453" t="s">
        <v>85</v>
      </c>
    </row>
    <row r="454" spans="1:9" ht="11.25" customHeight="1" x14ac:dyDescent="0.3">
      <c r="A454" t="s">
        <v>548</v>
      </c>
      <c r="B454" t="s">
        <v>174</v>
      </c>
      <c r="C454" t="s">
        <v>590</v>
      </c>
      <c r="D454" t="s">
        <v>591</v>
      </c>
      <c r="E454" t="s">
        <v>592</v>
      </c>
      <c r="F454" t="s">
        <v>588</v>
      </c>
      <c r="G454" t="s">
        <v>554</v>
      </c>
      <c r="H454" t="s">
        <v>554</v>
      </c>
      <c r="I454" t="s">
        <v>85</v>
      </c>
    </row>
    <row r="455" spans="1:9" ht="11.25" customHeight="1" x14ac:dyDescent="0.3">
      <c r="A455" t="s">
        <v>548</v>
      </c>
      <c r="B455" t="s">
        <v>174</v>
      </c>
      <c r="C455" t="s">
        <v>597</v>
      </c>
      <c r="D455" t="s">
        <v>598</v>
      </c>
      <c r="E455" t="s">
        <v>599</v>
      </c>
      <c r="F455" t="s">
        <v>600</v>
      </c>
      <c r="G455" t="s">
        <v>554</v>
      </c>
      <c r="H455" t="s">
        <v>554</v>
      </c>
      <c r="I455" t="s">
        <v>85</v>
      </c>
    </row>
    <row r="456" spans="1:9" ht="11.25" customHeight="1" x14ac:dyDescent="0.3">
      <c r="A456" t="s">
        <v>548</v>
      </c>
      <c r="B456" t="s">
        <v>174</v>
      </c>
      <c r="C456" t="s">
        <v>601</v>
      </c>
      <c r="D456" t="s">
        <v>602</v>
      </c>
      <c r="E456" t="s">
        <v>603</v>
      </c>
      <c r="F456" t="s">
        <v>604</v>
      </c>
      <c r="G456" t="s">
        <v>605</v>
      </c>
      <c r="H456" t="s">
        <v>554</v>
      </c>
      <c r="I456" t="s">
        <v>85</v>
      </c>
    </row>
    <row r="457" spans="1:9" ht="11.25" customHeight="1" x14ac:dyDescent="0.3">
      <c r="A457" t="s">
        <v>548</v>
      </c>
      <c r="B457" t="s">
        <v>174</v>
      </c>
      <c r="C457" t="s">
        <v>1718</v>
      </c>
      <c r="D457" t="s">
        <v>1719</v>
      </c>
      <c r="E457" t="s">
        <v>1720</v>
      </c>
      <c r="F457" t="s">
        <v>576</v>
      </c>
      <c r="G457" t="s">
        <v>554</v>
      </c>
      <c r="H457" t="s">
        <v>554</v>
      </c>
      <c r="I457" t="s">
        <v>85</v>
      </c>
    </row>
    <row r="458" spans="1:9" ht="11.25" customHeight="1" x14ac:dyDescent="0.3">
      <c r="A458" t="s">
        <v>548</v>
      </c>
      <c r="B458" t="s">
        <v>174</v>
      </c>
      <c r="C458" t="s">
        <v>1721</v>
      </c>
      <c r="D458" t="s">
        <v>1722</v>
      </c>
      <c r="E458" t="s">
        <v>1723</v>
      </c>
      <c r="F458" t="s">
        <v>1724</v>
      </c>
      <c r="G458" t="s">
        <v>554</v>
      </c>
      <c r="H458" t="s">
        <v>554</v>
      </c>
      <c r="I458" t="s">
        <v>85</v>
      </c>
    </row>
    <row r="459" spans="1:9" ht="11.25" customHeight="1" x14ac:dyDescent="0.3">
      <c r="A459" t="s">
        <v>548</v>
      </c>
      <c r="B459" t="s">
        <v>174</v>
      </c>
      <c r="C459" t="s">
        <v>606</v>
      </c>
      <c r="D459" t="s">
        <v>607</v>
      </c>
      <c r="E459" t="s">
        <v>608</v>
      </c>
      <c r="F459" t="s">
        <v>576</v>
      </c>
      <c r="G459" t="s">
        <v>554</v>
      </c>
      <c r="H459" t="s">
        <v>554</v>
      </c>
      <c r="I459" t="s">
        <v>85</v>
      </c>
    </row>
    <row r="460" spans="1:9" ht="11.25" customHeight="1" x14ac:dyDescent="0.3">
      <c r="A460" t="s">
        <v>548</v>
      </c>
      <c r="B460" t="s">
        <v>174</v>
      </c>
      <c r="C460" t="s">
        <v>1725</v>
      </c>
      <c r="D460" t="s">
        <v>1726</v>
      </c>
      <c r="E460" t="s">
        <v>1727</v>
      </c>
      <c r="F460" t="s">
        <v>1728</v>
      </c>
      <c r="G460" t="s">
        <v>554</v>
      </c>
      <c r="H460" t="s">
        <v>554</v>
      </c>
      <c r="I460" t="s">
        <v>85</v>
      </c>
    </row>
    <row r="461" spans="1:9" ht="11.25" customHeight="1" x14ac:dyDescent="0.3">
      <c r="A461" t="s">
        <v>548</v>
      </c>
      <c r="B461" t="s">
        <v>174</v>
      </c>
      <c r="C461" t="s">
        <v>1729</v>
      </c>
      <c r="D461" t="s">
        <v>1730</v>
      </c>
      <c r="E461" t="s">
        <v>1731</v>
      </c>
      <c r="F461" t="s">
        <v>1732</v>
      </c>
      <c r="G461" t="s">
        <v>1733</v>
      </c>
      <c r="H461" t="s">
        <v>554</v>
      </c>
      <c r="I461" t="s">
        <v>85</v>
      </c>
    </row>
    <row r="462" spans="1:9" ht="11.25" customHeight="1" x14ac:dyDescent="0.3">
      <c r="A462" t="s">
        <v>548</v>
      </c>
      <c r="B462" t="s">
        <v>174</v>
      </c>
      <c r="C462" t="s">
        <v>609</v>
      </c>
      <c r="D462" t="s">
        <v>610</v>
      </c>
      <c r="E462" t="s">
        <v>611</v>
      </c>
      <c r="F462" t="s">
        <v>612</v>
      </c>
      <c r="G462" t="s">
        <v>554</v>
      </c>
      <c r="H462" t="s">
        <v>554</v>
      </c>
      <c r="I462" t="s">
        <v>85</v>
      </c>
    </row>
    <row r="463" spans="1:9" ht="11.25" customHeight="1" x14ac:dyDescent="0.3">
      <c r="A463" t="s">
        <v>548</v>
      </c>
      <c r="B463" t="s">
        <v>174</v>
      </c>
      <c r="C463" t="s">
        <v>622</v>
      </c>
      <c r="D463" t="s">
        <v>623</v>
      </c>
      <c r="E463" t="s">
        <v>624</v>
      </c>
      <c r="F463" t="s">
        <v>584</v>
      </c>
      <c r="G463" t="s">
        <v>625</v>
      </c>
      <c r="H463" t="s">
        <v>554</v>
      </c>
      <c r="I463" t="s">
        <v>85</v>
      </c>
    </row>
    <row r="464" spans="1:9" ht="11.25" customHeight="1" x14ac:dyDescent="0.3">
      <c r="A464" t="s">
        <v>548</v>
      </c>
      <c r="B464" t="s">
        <v>174</v>
      </c>
      <c r="C464" t="s">
        <v>1734</v>
      </c>
      <c r="D464" t="s">
        <v>1735</v>
      </c>
      <c r="E464" t="s">
        <v>1736</v>
      </c>
      <c r="F464" t="s">
        <v>1712</v>
      </c>
      <c r="G464" t="s">
        <v>1737</v>
      </c>
      <c r="H464" t="s">
        <v>554</v>
      </c>
      <c r="I464" t="s">
        <v>85</v>
      </c>
    </row>
    <row r="465" spans="1:9" ht="11.25" customHeight="1" x14ac:dyDescent="0.3">
      <c r="A465" t="s">
        <v>548</v>
      </c>
      <c r="B465" t="s">
        <v>174</v>
      </c>
      <c r="C465" t="s">
        <v>1738</v>
      </c>
      <c r="D465" t="s">
        <v>1739</v>
      </c>
      <c r="E465" t="s">
        <v>1740</v>
      </c>
      <c r="F465" t="s">
        <v>563</v>
      </c>
      <c r="G465" t="s">
        <v>1741</v>
      </c>
      <c r="H465" t="s">
        <v>554</v>
      </c>
      <c r="I465" t="s">
        <v>85</v>
      </c>
    </row>
    <row r="466" spans="1:9" ht="11.25" customHeight="1" x14ac:dyDescent="0.3">
      <c r="A466" t="s">
        <v>548</v>
      </c>
      <c r="B466" t="s">
        <v>174</v>
      </c>
      <c r="C466" t="s">
        <v>1742</v>
      </c>
      <c r="D466" t="s">
        <v>1743</v>
      </c>
      <c r="E466" t="s">
        <v>683</v>
      </c>
      <c r="F466" t="s">
        <v>1744</v>
      </c>
      <c r="G466" t="s">
        <v>554</v>
      </c>
      <c r="H466" t="s">
        <v>554</v>
      </c>
      <c r="I466" t="s">
        <v>85</v>
      </c>
    </row>
    <row r="467" spans="1:9" ht="11.25" customHeight="1" x14ac:dyDescent="0.3">
      <c r="A467" t="s">
        <v>548</v>
      </c>
      <c r="B467" t="s">
        <v>174</v>
      </c>
      <c r="C467" t="s">
        <v>1745</v>
      </c>
      <c r="D467" t="s">
        <v>1746</v>
      </c>
      <c r="E467" t="s">
        <v>1747</v>
      </c>
      <c r="F467" t="s">
        <v>26</v>
      </c>
      <c r="G467" t="s">
        <v>1748</v>
      </c>
      <c r="H467" t="s">
        <v>554</v>
      </c>
      <c r="I467" t="s">
        <v>85</v>
      </c>
    </row>
    <row r="468" spans="1:9" ht="11.25" customHeight="1" x14ac:dyDescent="0.3">
      <c r="A468" t="s">
        <v>548</v>
      </c>
      <c r="B468" t="s">
        <v>174</v>
      </c>
      <c r="C468" t="s">
        <v>924</v>
      </c>
      <c r="D468" t="s">
        <v>925</v>
      </c>
      <c r="E468" t="s">
        <v>926</v>
      </c>
      <c r="F468" t="s">
        <v>761</v>
      </c>
      <c r="G468" t="s">
        <v>554</v>
      </c>
      <c r="H468" t="s">
        <v>554</v>
      </c>
      <c r="I468" t="s">
        <v>85</v>
      </c>
    </row>
    <row r="469" spans="1:9" ht="11.25" customHeight="1" x14ac:dyDescent="0.3">
      <c r="A469" t="s">
        <v>548</v>
      </c>
      <c r="B469" t="s">
        <v>174</v>
      </c>
      <c r="C469" t="s">
        <v>1749</v>
      </c>
      <c r="D469" t="s">
        <v>1750</v>
      </c>
      <c r="E469" t="s">
        <v>1751</v>
      </c>
      <c r="F469" t="s">
        <v>588</v>
      </c>
      <c r="G469" t="s">
        <v>554</v>
      </c>
      <c r="H469" t="s">
        <v>554</v>
      </c>
      <c r="I469" t="s">
        <v>85</v>
      </c>
    </row>
    <row r="470" spans="1:9" ht="11.25" customHeight="1" x14ac:dyDescent="0.3">
      <c r="A470" t="s">
        <v>548</v>
      </c>
      <c r="B470" t="s">
        <v>174</v>
      </c>
      <c r="C470" t="s">
        <v>936</v>
      </c>
      <c r="D470" t="s">
        <v>937</v>
      </c>
      <c r="E470" t="s">
        <v>938</v>
      </c>
      <c r="F470" t="s">
        <v>588</v>
      </c>
      <c r="G470" t="s">
        <v>554</v>
      </c>
      <c r="H470" t="s">
        <v>554</v>
      </c>
      <c r="I470" t="s">
        <v>85</v>
      </c>
    </row>
    <row r="471" spans="1:9" ht="11.25" customHeight="1" x14ac:dyDescent="0.3">
      <c r="A471" t="s">
        <v>548</v>
      </c>
      <c r="B471" t="s">
        <v>174</v>
      </c>
      <c r="C471" t="s">
        <v>1752</v>
      </c>
      <c r="D471" t="s">
        <v>1753</v>
      </c>
      <c r="E471" t="s">
        <v>1754</v>
      </c>
      <c r="F471" t="s">
        <v>563</v>
      </c>
      <c r="G471" t="s">
        <v>554</v>
      </c>
      <c r="H471" t="s">
        <v>554</v>
      </c>
      <c r="I471" t="s">
        <v>85</v>
      </c>
    </row>
    <row r="472" spans="1:9" ht="11.25" customHeight="1" x14ac:dyDescent="0.3">
      <c r="A472" t="s">
        <v>548</v>
      </c>
      <c r="B472" t="s">
        <v>174</v>
      </c>
      <c r="C472" t="s">
        <v>1755</v>
      </c>
      <c r="D472" t="s">
        <v>1756</v>
      </c>
      <c r="E472" t="s">
        <v>1757</v>
      </c>
      <c r="F472" t="s">
        <v>1758</v>
      </c>
      <c r="G472" t="s">
        <v>1759</v>
      </c>
      <c r="H472" t="s">
        <v>554</v>
      </c>
      <c r="I472" t="s">
        <v>85</v>
      </c>
    </row>
    <row r="473" spans="1:9" ht="11.25" customHeight="1" x14ac:dyDescent="0.3">
      <c r="A473" t="s">
        <v>548</v>
      </c>
      <c r="B473" t="s">
        <v>174</v>
      </c>
      <c r="C473" t="s">
        <v>1760</v>
      </c>
      <c r="D473" t="s">
        <v>1761</v>
      </c>
      <c r="E473" t="s">
        <v>1762</v>
      </c>
      <c r="F473" t="s">
        <v>1014</v>
      </c>
      <c r="G473" t="s">
        <v>1763</v>
      </c>
      <c r="H473" t="s">
        <v>554</v>
      </c>
      <c r="I473" t="s">
        <v>85</v>
      </c>
    </row>
    <row r="474" spans="1:9" ht="11.25" customHeight="1" x14ac:dyDescent="0.3">
      <c r="A474" t="s">
        <v>548</v>
      </c>
      <c r="B474" t="s">
        <v>174</v>
      </c>
      <c r="C474" t="s">
        <v>1764</v>
      </c>
      <c r="D474" t="s">
        <v>1765</v>
      </c>
      <c r="E474" t="s">
        <v>1766</v>
      </c>
      <c r="F474" t="s">
        <v>1767</v>
      </c>
      <c r="G474" t="s">
        <v>1768</v>
      </c>
      <c r="H474" t="s">
        <v>554</v>
      </c>
      <c r="I474" t="s">
        <v>85</v>
      </c>
    </row>
    <row r="475" spans="1:9" ht="11.25" customHeight="1" x14ac:dyDescent="0.3">
      <c r="A475" t="s">
        <v>548</v>
      </c>
      <c r="B475" t="s">
        <v>174</v>
      </c>
      <c r="C475" t="s">
        <v>1769</v>
      </c>
      <c r="D475" t="s">
        <v>1770</v>
      </c>
      <c r="E475" t="s">
        <v>1771</v>
      </c>
      <c r="F475" t="s">
        <v>584</v>
      </c>
      <c r="G475" t="s">
        <v>1772</v>
      </c>
      <c r="H475" t="s">
        <v>554</v>
      </c>
      <c r="I475" t="s">
        <v>85</v>
      </c>
    </row>
    <row r="476" spans="1:9" ht="11.25" customHeight="1" x14ac:dyDescent="0.3">
      <c r="A476" t="s">
        <v>548</v>
      </c>
      <c r="B476" t="s">
        <v>174</v>
      </c>
      <c r="C476" t="s">
        <v>1773</v>
      </c>
      <c r="D476" t="s">
        <v>1774</v>
      </c>
      <c r="E476" t="s">
        <v>1775</v>
      </c>
      <c r="F476" t="s">
        <v>1776</v>
      </c>
      <c r="G476" t="s">
        <v>1777</v>
      </c>
      <c r="H476" t="s">
        <v>554</v>
      </c>
      <c r="I476" t="s">
        <v>85</v>
      </c>
    </row>
    <row r="477" spans="1:9" ht="11.25" customHeight="1" x14ac:dyDescent="0.3">
      <c r="A477" t="s">
        <v>548</v>
      </c>
      <c r="B477" t="s">
        <v>174</v>
      </c>
      <c r="C477" t="s">
        <v>1778</v>
      </c>
      <c r="D477" t="s">
        <v>1779</v>
      </c>
      <c r="E477" t="s">
        <v>1780</v>
      </c>
      <c r="F477" t="s">
        <v>1781</v>
      </c>
      <c r="G477" t="s">
        <v>1782</v>
      </c>
      <c r="H477" t="s">
        <v>554</v>
      </c>
      <c r="I477" t="s">
        <v>85</v>
      </c>
    </row>
    <row r="478" spans="1:9" ht="11.25" customHeight="1" x14ac:dyDescent="0.3">
      <c r="A478" t="s">
        <v>548</v>
      </c>
      <c r="B478" t="s">
        <v>174</v>
      </c>
      <c r="C478" t="s">
        <v>1783</v>
      </c>
      <c r="D478" t="s">
        <v>1784</v>
      </c>
      <c r="E478" t="s">
        <v>1785</v>
      </c>
      <c r="F478" t="s">
        <v>563</v>
      </c>
      <c r="G478" t="s">
        <v>1786</v>
      </c>
      <c r="H478" t="s">
        <v>554</v>
      </c>
      <c r="I478" t="s">
        <v>85</v>
      </c>
    </row>
    <row r="479" spans="1:9" ht="11.25" customHeight="1" x14ac:dyDescent="0.3">
      <c r="A479" t="s">
        <v>548</v>
      </c>
      <c r="B479" t="s">
        <v>174</v>
      </c>
      <c r="C479" t="s">
        <v>1787</v>
      </c>
      <c r="D479" t="s">
        <v>1788</v>
      </c>
      <c r="E479" t="s">
        <v>1789</v>
      </c>
      <c r="F479" t="s">
        <v>563</v>
      </c>
      <c r="G479" t="s">
        <v>1790</v>
      </c>
      <c r="H479" t="s">
        <v>554</v>
      </c>
      <c r="I479" t="s">
        <v>85</v>
      </c>
    </row>
    <row r="480" spans="1:9" ht="11.25" customHeight="1" x14ac:dyDescent="0.3">
      <c r="A480" t="s">
        <v>548</v>
      </c>
      <c r="B480" t="s">
        <v>174</v>
      </c>
      <c r="C480" t="s">
        <v>1791</v>
      </c>
      <c r="D480" t="s">
        <v>1792</v>
      </c>
      <c r="E480" t="s">
        <v>1793</v>
      </c>
      <c r="F480" t="s">
        <v>563</v>
      </c>
      <c r="G480" t="s">
        <v>1794</v>
      </c>
      <c r="H480" t="s">
        <v>554</v>
      </c>
      <c r="I480" t="s">
        <v>85</v>
      </c>
    </row>
    <row r="481" spans="1:9" ht="11.25" customHeight="1" x14ac:dyDescent="0.3">
      <c r="A481" t="s">
        <v>548</v>
      </c>
      <c r="B481" t="s">
        <v>174</v>
      </c>
      <c r="C481" t="s">
        <v>1004</v>
      </c>
      <c r="D481" t="s">
        <v>1005</v>
      </c>
      <c r="E481" t="s">
        <v>1006</v>
      </c>
      <c r="F481" t="s">
        <v>563</v>
      </c>
      <c r="G481" t="s">
        <v>1007</v>
      </c>
      <c r="H481" t="s">
        <v>554</v>
      </c>
      <c r="I481" t="s">
        <v>85</v>
      </c>
    </row>
    <row r="482" spans="1:9" ht="11.25" customHeight="1" x14ac:dyDescent="0.3">
      <c r="A482" t="s">
        <v>548</v>
      </c>
      <c r="B482" t="s">
        <v>174</v>
      </c>
      <c r="C482" t="s">
        <v>1795</v>
      </c>
      <c r="D482" t="s">
        <v>1796</v>
      </c>
      <c r="E482" t="s">
        <v>1797</v>
      </c>
      <c r="F482" t="s">
        <v>1798</v>
      </c>
      <c r="G482" t="s">
        <v>554</v>
      </c>
      <c r="H482" t="s">
        <v>554</v>
      </c>
      <c r="I482" t="s">
        <v>85</v>
      </c>
    </row>
    <row r="483" spans="1:9" ht="11.25" customHeight="1" x14ac:dyDescent="0.3">
      <c r="A483" t="s">
        <v>548</v>
      </c>
      <c r="B483" t="s">
        <v>174</v>
      </c>
      <c r="C483" t="s">
        <v>1799</v>
      </c>
      <c r="D483" t="s">
        <v>1800</v>
      </c>
      <c r="E483" t="s">
        <v>1801</v>
      </c>
      <c r="F483" t="s">
        <v>1802</v>
      </c>
      <c r="G483" t="s">
        <v>554</v>
      </c>
      <c r="H483" t="s">
        <v>554</v>
      </c>
      <c r="I483" t="s">
        <v>85</v>
      </c>
    </row>
    <row r="484" spans="1:9" ht="11.25" customHeight="1" x14ac:dyDescent="0.3">
      <c r="A484" t="s">
        <v>548</v>
      </c>
      <c r="B484" t="s">
        <v>174</v>
      </c>
      <c r="C484" t="s">
        <v>1803</v>
      </c>
      <c r="D484" t="s">
        <v>1800</v>
      </c>
      <c r="E484" t="s">
        <v>1801</v>
      </c>
      <c r="F484" t="s">
        <v>1712</v>
      </c>
      <c r="G484" t="s">
        <v>554</v>
      </c>
      <c r="H484" t="s">
        <v>554</v>
      </c>
      <c r="I484" t="s">
        <v>85</v>
      </c>
    </row>
    <row r="485" spans="1:9" ht="11.25" customHeight="1" x14ac:dyDescent="0.3">
      <c r="A485" t="s">
        <v>548</v>
      </c>
      <c r="B485" t="s">
        <v>174</v>
      </c>
      <c r="C485" t="s">
        <v>1804</v>
      </c>
      <c r="D485" t="s">
        <v>1805</v>
      </c>
      <c r="E485" t="s">
        <v>1806</v>
      </c>
      <c r="F485" t="s">
        <v>1807</v>
      </c>
      <c r="G485" t="s">
        <v>1808</v>
      </c>
      <c r="H485" t="s">
        <v>554</v>
      </c>
      <c r="I485" t="s">
        <v>85</v>
      </c>
    </row>
    <row r="486" spans="1:9" ht="11.25" customHeight="1" x14ac:dyDescent="0.3">
      <c r="A486" t="s">
        <v>548</v>
      </c>
      <c r="B486" t="s">
        <v>174</v>
      </c>
      <c r="C486" t="s">
        <v>1809</v>
      </c>
      <c r="D486" t="s">
        <v>1810</v>
      </c>
      <c r="E486" t="s">
        <v>1811</v>
      </c>
      <c r="F486" t="s">
        <v>1812</v>
      </c>
      <c r="G486" t="s">
        <v>554</v>
      </c>
      <c r="H486" t="s">
        <v>554</v>
      </c>
      <c r="I486" t="s">
        <v>85</v>
      </c>
    </row>
    <row r="487" spans="1:9" ht="11.25" customHeight="1" x14ac:dyDescent="0.3">
      <c r="A487" t="s">
        <v>548</v>
      </c>
      <c r="B487" t="s">
        <v>174</v>
      </c>
      <c r="C487" t="s">
        <v>1043</v>
      </c>
      <c r="D487" t="s">
        <v>1044</v>
      </c>
      <c r="E487" t="s">
        <v>1045</v>
      </c>
      <c r="F487" t="s">
        <v>651</v>
      </c>
      <c r="G487" t="s">
        <v>554</v>
      </c>
      <c r="H487" t="s">
        <v>554</v>
      </c>
      <c r="I487" t="s">
        <v>85</v>
      </c>
    </row>
    <row r="488" spans="1:9" ht="11.25" customHeight="1" x14ac:dyDescent="0.3">
      <c r="A488" t="s">
        <v>548</v>
      </c>
      <c r="B488" t="s">
        <v>174</v>
      </c>
      <c r="C488" t="s">
        <v>1813</v>
      </c>
      <c r="D488" t="s">
        <v>1814</v>
      </c>
      <c r="E488" t="s">
        <v>1815</v>
      </c>
      <c r="F488" t="s">
        <v>651</v>
      </c>
      <c r="G488" t="s">
        <v>1816</v>
      </c>
      <c r="H488" t="s">
        <v>554</v>
      </c>
      <c r="I488" t="s">
        <v>85</v>
      </c>
    </row>
    <row r="489" spans="1:9" ht="11.25" customHeight="1" x14ac:dyDescent="0.3">
      <c r="A489" t="s">
        <v>548</v>
      </c>
      <c r="B489" t="s">
        <v>174</v>
      </c>
      <c r="C489" t="s">
        <v>1817</v>
      </c>
      <c r="D489" t="s">
        <v>1818</v>
      </c>
      <c r="E489" t="s">
        <v>1819</v>
      </c>
      <c r="F489" t="s">
        <v>1014</v>
      </c>
      <c r="G489" t="s">
        <v>1820</v>
      </c>
      <c r="H489" t="s">
        <v>554</v>
      </c>
      <c r="I489" t="s">
        <v>85</v>
      </c>
    </row>
    <row r="490" spans="1:9" ht="11.25" customHeight="1" x14ac:dyDescent="0.3">
      <c r="A490" t="s">
        <v>548</v>
      </c>
      <c r="B490" t="s">
        <v>174</v>
      </c>
      <c r="C490" t="s">
        <v>1821</v>
      </c>
      <c r="D490" t="s">
        <v>1822</v>
      </c>
      <c r="E490" t="s">
        <v>1823</v>
      </c>
      <c r="F490" t="s">
        <v>576</v>
      </c>
      <c r="G490" t="s">
        <v>554</v>
      </c>
      <c r="H490" t="s">
        <v>554</v>
      </c>
      <c r="I490" t="s">
        <v>85</v>
      </c>
    </row>
    <row r="491" spans="1:9" ht="11.25" customHeight="1" x14ac:dyDescent="0.3">
      <c r="A491" t="s">
        <v>548</v>
      </c>
      <c r="B491" t="s">
        <v>174</v>
      </c>
      <c r="C491" t="s">
        <v>1058</v>
      </c>
      <c r="D491" t="s">
        <v>1059</v>
      </c>
      <c r="E491" t="s">
        <v>1060</v>
      </c>
      <c r="F491" t="s">
        <v>1061</v>
      </c>
      <c r="G491" t="s">
        <v>554</v>
      </c>
      <c r="H491" t="s">
        <v>554</v>
      </c>
      <c r="I491" t="s">
        <v>85</v>
      </c>
    </row>
    <row r="492" spans="1:9" ht="11.25" customHeight="1" x14ac:dyDescent="0.3">
      <c r="A492" t="s">
        <v>548</v>
      </c>
      <c r="B492" t="s">
        <v>174</v>
      </c>
      <c r="C492" t="s">
        <v>1824</v>
      </c>
      <c r="D492" t="s">
        <v>1825</v>
      </c>
      <c r="E492" t="s">
        <v>1826</v>
      </c>
      <c r="F492" t="s">
        <v>584</v>
      </c>
      <c r="G492" t="s">
        <v>1827</v>
      </c>
      <c r="H492" t="s">
        <v>554</v>
      </c>
      <c r="I492" t="s">
        <v>85</v>
      </c>
    </row>
    <row r="493" spans="1:9" ht="11.25" customHeight="1" x14ac:dyDescent="0.3">
      <c r="A493" t="s">
        <v>548</v>
      </c>
      <c r="B493" t="s">
        <v>174</v>
      </c>
      <c r="C493" t="s">
        <v>1828</v>
      </c>
      <c r="D493" t="s">
        <v>1829</v>
      </c>
      <c r="E493" t="s">
        <v>1830</v>
      </c>
      <c r="F493" t="s">
        <v>584</v>
      </c>
      <c r="G493" t="s">
        <v>1831</v>
      </c>
      <c r="H493" t="s">
        <v>554</v>
      </c>
      <c r="I493" t="s">
        <v>85</v>
      </c>
    </row>
    <row r="494" spans="1:9" ht="11.25" customHeight="1" x14ac:dyDescent="0.3">
      <c r="A494" t="s">
        <v>548</v>
      </c>
      <c r="B494" t="s">
        <v>174</v>
      </c>
      <c r="C494" t="s">
        <v>1832</v>
      </c>
      <c r="D494" t="s">
        <v>1829</v>
      </c>
      <c r="E494" t="s">
        <v>1833</v>
      </c>
      <c r="F494" t="s">
        <v>584</v>
      </c>
      <c r="G494" t="s">
        <v>1831</v>
      </c>
      <c r="H494" t="s">
        <v>554</v>
      </c>
      <c r="I494" t="s">
        <v>85</v>
      </c>
    </row>
    <row r="495" spans="1:9" ht="11.25" customHeight="1" x14ac:dyDescent="0.3">
      <c r="A495" t="s">
        <v>548</v>
      </c>
      <c r="B495" t="s">
        <v>174</v>
      </c>
      <c r="C495" t="s">
        <v>1834</v>
      </c>
      <c r="D495" t="s">
        <v>1835</v>
      </c>
      <c r="E495" t="s">
        <v>1836</v>
      </c>
      <c r="F495" t="s">
        <v>576</v>
      </c>
      <c r="G495" t="s">
        <v>554</v>
      </c>
      <c r="H495" t="s">
        <v>554</v>
      </c>
      <c r="I495" t="s">
        <v>85</v>
      </c>
    </row>
    <row r="496" spans="1:9" ht="11.25" customHeight="1" x14ac:dyDescent="0.3">
      <c r="A496" t="s">
        <v>548</v>
      </c>
      <c r="B496" t="s">
        <v>174</v>
      </c>
      <c r="C496" t="s">
        <v>1837</v>
      </c>
      <c r="D496" t="s">
        <v>1838</v>
      </c>
      <c r="E496" t="s">
        <v>1839</v>
      </c>
      <c r="F496" t="s">
        <v>576</v>
      </c>
      <c r="G496" t="s">
        <v>1840</v>
      </c>
      <c r="H496" t="s">
        <v>554</v>
      </c>
      <c r="I496" t="s">
        <v>85</v>
      </c>
    </row>
    <row r="497" spans="1:9" ht="11.25" customHeight="1" x14ac:dyDescent="0.3">
      <c r="A497" t="s">
        <v>548</v>
      </c>
      <c r="B497" t="s">
        <v>174</v>
      </c>
      <c r="C497" t="s">
        <v>1069</v>
      </c>
      <c r="D497" t="s">
        <v>1070</v>
      </c>
      <c r="E497" t="s">
        <v>1071</v>
      </c>
      <c r="F497" t="s">
        <v>563</v>
      </c>
      <c r="G497" t="s">
        <v>554</v>
      </c>
      <c r="H497" t="s">
        <v>554</v>
      </c>
      <c r="I497" t="s">
        <v>85</v>
      </c>
    </row>
    <row r="498" spans="1:9" ht="11.25" customHeight="1" x14ac:dyDescent="0.3">
      <c r="A498" t="s">
        <v>548</v>
      </c>
      <c r="B498" t="s">
        <v>174</v>
      </c>
      <c r="C498" t="s">
        <v>1841</v>
      </c>
      <c r="D498" t="s">
        <v>1842</v>
      </c>
      <c r="E498" t="s">
        <v>1843</v>
      </c>
      <c r="F498" t="s">
        <v>1844</v>
      </c>
      <c r="G498" t="s">
        <v>1845</v>
      </c>
      <c r="H498" t="s">
        <v>554</v>
      </c>
      <c r="I498" t="s">
        <v>85</v>
      </c>
    </row>
    <row r="499" spans="1:9" ht="11.25" customHeight="1" x14ac:dyDescent="0.3">
      <c r="A499" t="s">
        <v>548</v>
      </c>
      <c r="B499" t="s">
        <v>174</v>
      </c>
      <c r="C499" t="s">
        <v>1846</v>
      </c>
      <c r="D499" t="s">
        <v>1842</v>
      </c>
      <c r="E499" t="s">
        <v>1843</v>
      </c>
      <c r="F499" t="s">
        <v>1712</v>
      </c>
      <c r="G499" t="s">
        <v>1847</v>
      </c>
      <c r="H499" t="s">
        <v>554</v>
      </c>
      <c r="I499" t="s">
        <v>85</v>
      </c>
    </row>
    <row r="500" spans="1:9" ht="11.25" customHeight="1" x14ac:dyDescent="0.3">
      <c r="A500" t="s">
        <v>548</v>
      </c>
      <c r="B500" t="s">
        <v>174</v>
      </c>
      <c r="C500" t="s">
        <v>1848</v>
      </c>
      <c r="D500" t="s">
        <v>1849</v>
      </c>
      <c r="E500" t="s">
        <v>1850</v>
      </c>
      <c r="F500" t="s">
        <v>1851</v>
      </c>
      <c r="G500" t="s">
        <v>554</v>
      </c>
      <c r="H500" t="s">
        <v>554</v>
      </c>
      <c r="I500" t="s">
        <v>85</v>
      </c>
    </row>
    <row r="501" spans="1:9" ht="11.25" customHeight="1" x14ac:dyDescent="0.3">
      <c r="A501" t="s">
        <v>548</v>
      </c>
      <c r="B501" t="s">
        <v>174</v>
      </c>
      <c r="C501" t="s">
        <v>1852</v>
      </c>
      <c r="D501" t="s">
        <v>1853</v>
      </c>
      <c r="E501" t="s">
        <v>1854</v>
      </c>
      <c r="F501" t="s">
        <v>1855</v>
      </c>
      <c r="G501" t="s">
        <v>554</v>
      </c>
      <c r="H501" t="s">
        <v>554</v>
      </c>
      <c r="I501" t="s">
        <v>85</v>
      </c>
    </row>
    <row r="502" spans="1:9" ht="11.25" customHeight="1" x14ac:dyDescent="0.3">
      <c r="A502" t="s">
        <v>548</v>
      </c>
      <c r="B502" t="s">
        <v>174</v>
      </c>
      <c r="C502" t="s">
        <v>1856</v>
      </c>
      <c r="D502" t="s">
        <v>1857</v>
      </c>
      <c r="E502" t="s">
        <v>1858</v>
      </c>
      <c r="F502" t="s">
        <v>1859</v>
      </c>
      <c r="G502" t="s">
        <v>554</v>
      </c>
      <c r="H502" t="s">
        <v>554</v>
      </c>
      <c r="I502" t="s">
        <v>85</v>
      </c>
    </row>
    <row r="503" spans="1:9" ht="11.25" customHeight="1" x14ac:dyDescent="0.3">
      <c r="A503" t="s">
        <v>548</v>
      </c>
      <c r="B503" t="s">
        <v>174</v>
      </c>
      <c r="C503" t="s">
        <v>1860</v>
      </c>
      <c r="D503" t="s">
        <v>1861</v>
      </c>
      <c r="E503" t="s">
        <v>1862</v>
      </c>
      <c r="F503" t="s">
        <v>1859</v>
      </c>
      <c r="G503" t="s">
        <v>554</v>
      </c>
      <c r="H503" t="s">
        <v>554</v>
      </c>
      <c r="I503" t="s">
        <v>85</v>
      </c>
    </row>
    <row r="504" spans="1:9" ht="11.25" customHeight="1" x14ac:dyDescent="0.3">
      <c r="A504" t="s">
        <v>548</v>
      </c>
      <c r="B504" t="s">
        <v>174</v>
      </c>
      <c r="C504" t="s">
        <v>1863</v>
      </c>
      <c r="D504" t="s">
        <v>1864</v>
      </c>
      <c r="E504" t="s">
        <v>1865</v>
      </c>
      <c r="F504" t="s">
        <v>563</v>
      </c>
      <c r="G504" t="s">
        <v>554</v>
      </c>
      <c r="H504" t="s">
        <v>554</v>
      </c>
      <c r="I504" t="s">
        <v>85</v>
      </c>
    </row>
    <row r="505" spans="1:9" ht="11.25" customHeight="1" x14ac:dyDescent="0.3">
      <c r="A505" t="s">
        <v>548</v>
      </c>
      <c r="B505" t="s">
        <v>174</v>
      </c>
      <c r="C505" t="s">
        <v>1866</v>
      </c>
      <c r="D505" t="s">
        <v>1867</v>
      </c>
      <c r="E505" t="s">
        <v>1868</v>
      </c>
      <c r="F505" t="s">
        <v>584</v>
      </c>
      <c r="G505" t="s">
        <v>1869</v>
      </c>
      <c r="H505" t="s">
        <v>554</v>
      </c>
      <c r="I505" t="s">
        <v>85</v>
      </c>
    </row>
    <row r="506" spans="1:9" ht="11.25" customHeight="1" x14ac:dyDescent="0.3">
      <c r="A506" t="s">
        <v>548</v>
      </c>
      <c r="B506" t="s">
        <v>174</v>
      </c>
      <c r="C506" t="s">
        <v>1870</v>
      </c>
      <c r="D506" t="s">
        <v>1871</v>
      </c>
      <c r="E506" t="s">
        <v>1872</v>
      </c>
      <c r="F506" t="s">
        <v>600</v>
      </c>
      <c r="G506" t="s">
        <v>554</v>
      </c>
      <c r="H506" t="s">
        <v>554</v>
      </c>
      <c r="I506" t="s">
        <v>85</v>
      </c>
    </row>
    <row r="507" spans="1:9" ht="11.25" customHeight="1" x14ac:dyDescent="0.3">
      <c r="A507" t="s">
        <v>548</v>
      </c>
      <c r="B507" t="s">
        <v>174</v>
      </c>
      <c r="C507" t="s">
        <v>1873</v>
      </c>
      <c r="D507" t="s">
        <v>1874</v>
      </c>
      <c r="E507" t="s">
        <v>1875</v>
      </c>
      <c r="F507" t="s">
        <v>584</v>
      </c>
      <c r="G507" t="s">
        <v>554</v>
      </c>
      <c r="H507" t="s">
        <v>554</v>
      </c>
      <c r="I507" t="s">
        <v>85</v>
      </c>
    </row>
    <row r="508" spans="1:9" ht="11.25" customHeight="1" x14ac:dyDescent="0.3">
      <c r="A508" t="s">
        <v>548</v>
      </c>
      <c r="B508" t="s">
        <v>174</v>
      </c>
      <c r="C508" t="s">
        <v>1127</v>
      </c>
      <c r="D508" t="s">
        <v>1122</v>
      </c>
      <c r="E508" t="s">
        <v>1128</v>
      </c>
      <c r="F508" t="s">
        <v>572</v>
      </c>
      <c r="G508" t="s">
        <v>1090</v>
      </c>
      <c r="H508" t="s">
        <v>554</v>
      </c>
      <c r="I508" t="s">
        <v>85</v>
      </c>
    </row>
    <row r="509" spans="1:9" ht="11.25" customHeight="1" x14ac:dyDescent="0.3">
      <c r="A509" t="s">
        <v>548</v>
      </c>
      <c r="B509" t="s">
        <v>174</v>
      </c>
      <c r="C509" t="s">
        <v>1148</v>
      </c>
      <c r="D509" t="s">
        <v>1149</v>
      </c>
      <c r="E509" t="s">
        <v>1150</v>
      </c>
      <c r="F509" t="s">
        <v>584</v>
      </c>
      <c r="G509" t="s">
        <v>554</v>
      </c>
      <c r="H509" t="s">
        <v>554</v>
      </c>
      <c r="I509" t="s">
        <v>85</v>
      </c>
    </row>
    <row r="510" spans="1:9" ht="11.25" customHeight="1" x14ac:dyDescent="0.3">
      <c r="A510" t="s">
        <v>548</v>
      </c>
      <c r="B510" t="s">
        <v>174</v>
      </c>
      <c r="C510" t="s">
        <v>1876</v>
      </c>
      <c r="D510" t="s">
        <v>1877</v>
      </c>
      <c r="E510" t="s">
        <v>1878</v>
      </c>
      <c r="F510" t="s">
        <v>596</v>
      </c>
      <c r="G510" t="s">
        <v>1879</v>
      </c>
      <c r="H510" t="s">
        <v>554</v>
      </c>
      <c r="I510" t="s">
        <v>85</v>
      </c>
    </row>
    <row r="511" spans="1:9" ht="11.25" customHeight="1" x14ac:dyDescent="0.3">
      <c r="A511" t="s">
        <v>548</v>
      </c>
      <c r="B511" t="s">
        <v>174</v>
      </c>
      <c r="C511" t="s">
        <v>1880</v>
      </c>
      <c r="D511" t="s">
        <v>1881</v>
      </c>
      <c r="E511" t="s">
        <v>1882</v>
      </c>
      <c r="F511" t="s">
        <v>1883</v>
      </c>
      <c r="G511" t="s">
        <v>1884</v>
      </c>
      <c r="H511" t="s">
        <v>554</v>
      </c>
      <c r="I511" t="s">
        <v>85</v>
      </c>
    </row>
    <row r="512" spans="1:9" ht="11.25" customHeight="1" x14ac:dyDescent="0.3">
      <c r="A512" t="s">
        <v>548</v>
      </c>
      <c r="B512" t="s">
        <v>174</v>
      </c>
      <c r="C512" t="s">
        <v>1885</v>
      </c>
      <c r="D512" t="s">
        <v>1886</v>
      </c>
      <c r="E512" t="s">
        <v>1887</v>
      </c>
      <c r="F512" t="s">
        <v>1014</v>
      </c>
      <c r="G512" t="s">
        <v>1888</v>
      </c>
      <c r="H512" t="s">
        <v>554</v>
      </c>
      <c r="I512" t="s">
        <v>85</v>
      </c>
    </row>
    <row r="513" spans="1:9" ht="11.25" customHeight="1" x14ac:dyDescent="0.3">
      <c r="A513" t="s">
        <v>548</v>
      </c>
      <c r="B513" t="s">
        <v>174</v>
      </c>
      <c r="C513" t="s">
        <v>1889</v>
      </c>
      <c r="D513" t="s">
        <v>1890</v>
      </c>
      <c r="E513" t="s">
        <v>1891</v>
      </c>
      <c r="F513" t="s">
        <v>1892</v>
      </c>
      <c r="G513" t="s">
        <v>554</v>
      </c>
      <c r="H513" t="s">
        <v>554</v>
      </c>
      <c r="I513" t="s">
        <v>85</v>
      </c>
    </row>
    <row r="514" spans="1:9" ht="11.25" customHeight="1" x14ac:dyDescent="0.3">
      <c r="A514" t="s">
        <v>548</v>
      </c>
      <c r="B514" t="s">
        <v>174</v>
      </c>
      <c r="C514" t="s">
        <v>1893</v>
      </c>
      <c r="D514" t="s">
        <v>1894</v>
      </c>
      <c r="E514" t="s">
        <v>1895</v>
      </c>
      <c r="F514" t="s">
        <v>584</v>
      </c>
      <c r="G514" t="s">
        <v>1896</v>
      </c>
      <c r="H514" t="s">
        <v>554</v>
      </c>
      <c r="I514" t="s">
        <v>85</v>
      </c>
    </row>
    <row r="515" spans="1:9" ht="11.25" customHeight="1" x14ac:dyDescent="0.3">
      <c r="A515" t="s">
        <v>548</v>
      </c>
      <c r="B515" t="s">
        <v>174</v>
      </c>
      <c r="C515" t="s">
        <v>1897</v>
      </c>
      <c r="D515" t="s">
        <v>1898</v>
      </c>
      <c r="E515" t="s">
        <v>1899</v>
      </c>
      <c r="F515" t="s">
        <v>563</v>
      </c>
      <c r="G515" t="s">
        <v>554</v>
      </c>
      <c r="H515" t="s">
        <v>554</v>
      </c>
      <c r="I515" t="s">
        <v>85</v>
      </c>
    </row>
    <row r="516" spans="1:9" ht="11.25" customHeight="1" x14ac:dyDescent="0.3">
      <c r="A516" t="s">
        <v>548</v>
      </c>
      <c r="B516" t="s">
        <v>174</v>
      </c>
      <c r="C516" t="s">
        <v>1201</v>
      </c>
      <c r="D516" t="s">
        <v>1202</v>
      </c>
      <c r="E516" t="s">
        <v>1203</v>
      </c>
      <c r="F516" t="s">
        <v>576</v>
      </c>
      <c r="G516" t="s">
        <v>1204</v>
      </c>
      <c r="H516" t="s">
        <v>554</v>
      </c>
      <c r="I516" t="s">
        <v>85</v>
      </c>
    </row>
    <row r="517" spans="1:9" ht="11.25" customHeight="1" x14ac:dyDescent="0.3">
      <c r="A517" t="s">
        <v>548</v>
      </c>
      <c r="B517" t="s">
        <v>174</v>
      </c>
      <c r="C517" t="s">
        <v>1900</v>
      </c>
      <c r="D517" t="s">
        <v>1901</v>
      </c>
      <c r="E517" t="s">
        <v>1902</v>
      </c>
      <c r="F517" t="s">
        <v>563</v>
      </c>
      <c r="G517" t="s">
        <v>554</v>
      </c>
      <c r="H517" t="s">
        <v>554</v>
      </c>
      <c r="I517" t="s">
        <v>85</v>
      </c>
    </row>
    <row r="518" spans="1:9" ht="11.25" customHeight="1" x14ac:dyDescent="0.3">
      <c r="A518" t="s">
        <v>548</v>
      </c>
      <c r="B518" t="s">
        <v>174</v>
      </c>
      <c r="C518" t="s">
        <v>1903</v>
      </c>
      <c r="D518" t="s">
        <v>1904</v>
      </c>
      <c r="E518" t="s">
        <v>1905</v>
      </c>
      <c r="F518" t="s">
        <v>651</v>
      </c>
      <c r="G518" t="s">
        <v>1906</v>
      </c>
      <c r="H518" t="s">
        <v>554</v>
      </c>
      <c r="I518" t="s">
        <v>85</v>
      </c>
    </row>
    <row r="519" spans="1:9" ht="11.25" customHeight="1" x14ac:dyDescent="0.3">
      <c r="A519" t="s">
        <v>548</v>
      </c>
      <c r="B519" t="s">
        <v>174</v>
      </c>
      <c r="C519" t="s">
        <v>1907</v>
      </c>
      <c r="D519" t="s">
        <v>1908</v>
      </c>
      <c r="E519" t="s">
        <v>1909</v>
      </c>
      <c r="F519" t="s">
        <v>1910</v>
      </c>
      <c r="G519" t="s">
        <v>554</v>
      </c>
      <c r="H519" t="s">
        <v>554</v>
      </c>
      <c r="I519" t="s">
        <v>85</v>
      </c>
    </row>
    <row r="520" spans="1:9" ht="11.25" customHeight="1" x14ac:dyDescent="0.3">
      <c r="A520" t="s">
        <v>548</v>
      </c>
      <c r="B520" t="s">
        <v>174</v>
      </c>
      <c r="C520" t="s">
        <v>1698</v>
      </c>
      <c r="D520" t="s">
        <v>1699</v>
      </c>
      <c r="E520" t="s">
        <v>1700</v>
      </c>
      <c r="F520" t="s">
        <v>563</v>
      </c>
      <c r="G520" t="s">
        <v>554</v>
      </c>
      <c r="H520" t="s">
        <v>554</v>
      </c>
      <c r="I520" t="s">
        <v>85</v>
      </c>
    </row>
    <row r="521" spans="1:9" ht="11.25" customHeight="1" x14ac:dyDescent="0.3">
      <c r="A521" t="s">
        <v>548</v>
      </c>
      <c r="B521" t="s">
        <v>174</v>
      </c>
      <c r="C521" t="s">
        <v>1911</v>
      </c>
      <c r="D521" t="s">
        <v>1912</v>
      </c>
      <c r="E521" t="s">
        <v>1913</v>
      </c>
      <c r="F521" t="s">
        <v>1914</v>
      </c>
      <c r="G521" t="s">
        <v>554</v>
      </c>
      <c r="H521" t="s">
        <v>554</v>
      </c>
      <c r="I521" t="s">
        <v>85</v>
      </c>
    </row>
    <row r="522" spans="1:9" ht="11.25" customHeight="1" x14ac:dyDescent="0.3">
      <c r="A522" t="s">
        <v>548</v>
      </c>
      <c r="B522" t="s">
        <v>174</v>
      </c>
      <c r="C522" t="s">
        <v>1234</v>
      </c>
      <c r="D522" t="s">
        <v>1235</v>
      </c>
      <c r="E522" t="s">
        <v>1236</v>
      </c>
      <c r="F522" t="s">
        <v>651</v>
      </c>
      <c r="G522" t="s">
        <v>1237</v>
      </c>
      <c r="H522" t="s">
        <v>554</v>
      </c>
      <c r="I522" t="s">
        <v>85</v>
      </c>
    </row>
    <row r="523" spans="1:9" ht="11.25" customHeight="1" x14ac:dyDescent="0.3">
      <c r="A523" t="s">
        <v>548</v>
      </c>
      <c r="B523" t="s">
        <v>174</v>
      </c>
      <c r="C523" t="s">
        <v>1915</v>
      </c>
      <c r="D523" t="s">
        <v>1916</v>
      </c>
      <c r="E523" t="s">
        <v>1715</v>
      </c>
      <c r="F523" t="s">
        <v>1917</v>
      </c>
      <c r="G523" t="s">
        <v>554</v>
      </c>
      <c r="H523" t="s">
        <v>554</v>
      </c>
      <c r="I523" t="s">
        <v>85</v>
      </c>
    </row>
    <row r="524" spans="1:9" ht="11.25" customHeight="1" x14ac:dyDescent="0.3">
      <c r="A524" t="s">
        <v>548</v>
      </c>
      <c r="B524" t="s">
        <v>174</v>
      </c>
      <c r="C524" t="s">
        <v>1243</v>
      </c>
      <c r="D524" t="s">
        <v>1244</v>
      </c>
      <c r="E524" t="s">
        <v>1245</v>
      </c>
      <c r="F524" t="s">
        <v>1014</v>
      </c>
      <c r="G524" t="s">
        <v>554</v>
      </c>
      <c r="H524" t="s">
        <v>554</v>
      </c>
      <c r="I524" t="s">
        <v>85</v>
      </c>
    </row>
    <row r="525" spans="1:9" ht="11.25" customHeight="1" x14ac:dyDescent="0.3">
      <c r="A525" t="s">
        <v>548</v>
      </c>
      <c r="B525" t="s">
        <v>174</v>
      </c>
      <c r="C525" t="s">
        <v>1918</v>
      </c>
      <c r="D525" t="s">
        <v>1919</v>
      </c>
      <c r="E525" t="s">
        <v>1920</v>
      </c>
      <c r="F525" t="s">
        <v>1921</v>
      </c>
      <c r="G525" t="s">
        <v>554</v>
      </c>
      <c r="H525" t="s">
        <v>554</v>
      </c>
      <c r="I525" t="s">
        <v>85</v>
      </c>
    </row>
    <row r="526" spans="1:9" ht="11.25" customHeight="1" x14ac:dyDescent="0.3">
      <c r="A526" t="s">
        <v>548</v>
      </c>
      <c r="B526" t="s">
        <v>174</v>
      </c>
      <c r="C526" t="s">
        <v>1922</v>
      </c>
      <c r="D526" t="s">
        <v>1919</v>
      </c>
      <c r="E526" t="s">
        <v>1920</v>
      </c>
      <c r="F526" t="s">
        <v>1923</v>
      </c>
      <c r="G526" t="s">
        <v>554</v>
      </c>
      <c r="H526" t="s">
        <v>554</v>
      </c>
      <c r="I526" t="s">
        <v>85</v>
      </c>
    </row>
    <row r="527" spans="1:9" ht="11.25" customHeight="1" x14ac:dyDescent="0.3">
      <c r="A527" t="s">
        <v>548</v>
      </c>
      <c r="B527" t="s">
        <v>174</v>
      </c>
      <c r="C527" t="s">
        <v>1924</v>
      </c>
      <c r="D527" t="s">
        <v>1925</v>
      </c>
      <c r="E527" t="s">
        <v>1780</v>
      </c>
      <c r="F527" t="s">
        <v>1926</v>
      </c>
      <c r="G527" t="s">
        <v>1782</v>
      </c>
      <c r="H527" t="s">
        <v>554</v>
      </c>
      <c r="I527" t="s">
        <v>85</v>
      </c>
    </row>
    <row r="528" spans="1:9" ht="11.25" customHeight="1" x14ac:dyDescent="0.3">
      <c r="A528" t="s">
        <v>548</v>
      </c>
      <c r="B528" t="s">
        <v>174</v>
      </c>
      <c r="C528" t="s">
        <v>1927</v>
      </c>
      <c r="D528" t="s">
        <v>1928</v>
      </c>
      <c r="E528" t="s">
        <v>1929</v>
      </c>
      <c r="F528" t="s">
        <v>1930</v>
      </c>
      <c r="G528" t="s">
        <v>1931</v>
      </c>
      <c r="H528" t="s">
        <v>554</v>
      </c>
      <c r="I528" t="s">
        <v>85</v>
      </c>
    </row>
    <row r="529" spans="1:9" ht="11.25" customHeight="1" x14ac:dyDescent="0.3">
      <c r="A529" t="s">
        <v>548</v>
      </c>
      <c r="B529" t="s">
        <v>174</v>
      </c>
      <c r="C529" t="s">
        <v>1932</v>
      </c>
      <c r="D529" t="s">
        <v>1933</v>
      </c>
      <c r="E529" t="s">
        <v>1934</v>
      </c>
      <c r="F529" t="s">
        <v>552</v>
      </c>
      <c r="G529" t="s">
        <v>1935</v>
      </c>
      <c r="H529" t="s">
        <v>554</v>
      </c>
      <c r="I529" t="s">
        <v>85</v>
      </c>
    </row>
    <row r="530" spans="1:9" ht="11.25" customHeight="1" x14ac:dyDescent="0.3">
      <c r="A530" t="s">
        <v>548</v>
      </c>
      <c r="B530" t="s">
        <v>174</v>
      </c>
      <c r="C530" t="s">
        <v>1936</v>
      </c>
      <c r="D530" t="s">
        <v>1937</v>
      </c>
      <c r="E530" t="s">
        <v>1938</v>
      </c>
      <c r="F530" t="s">
        <v>552</v>
      </c>
      <c r="G530" t="s">
        <v>1939</v>
      </c>
      <c r="H530" t="s">
        <v>554</v>
      </c>
      <c r="I530" t="s">
        <v>85</v>
      </c>
    </row>
    <row r="531" spans="1:9" ht="11.25" customHeight="1" x14ac:dyDescent="0.3">
      <c r="A531" t="s">
        <v>548</v>
      </c>
      <c r="B531" t="s">
        <v>174</v>
      </c>
      <c r="C531" t="s">
        <v>1940</v>
      </c>
      <c r="D531" t="s">
        <v>1941</v>
      </c>
      <c r="E531" t="s">
        <v>683</v>
      </c>
      <c r="F531" t="s">
        <v>1942</v>
      </c>
      <c r="G531" t="s">
        <v>554</v>
      </c>
      <c r="H531" t="s">
        <v>554</v>
      </c>
      <c r="I531" t="s">
        <v>85</v>
      </c>
    </row>
    <row r="532" spans="1:9" ht="11.25" customHeight="1" x14ac:dyDescent="0.3">
      <c r="A532" t="s">
        <v>548</v>
      </c>
      <c r="B532" t="s">
        <v>174</v>
      </c>
      <c r="C532" t="s">
        <v>1265</v>
      </c>
      <c r="D532" t="s">
        <v>1266</v>
      </c>
      <c r="E532" t="s">
        <v>1267</v>
      </c>
      <c r="F532" t="s">
        <v>1268</v>
      </c>
      <c r="G532" t="s">
        <v>1269</v>
      </c>
      <c r="H532" t="s">
        <v>554</v>
      </c>
      <c r="I532" t="s">
        <v>85</v>
      </c>
    </row>
    <row r="533" spans="1:9" ht="11.25" customHeight="1" x14ac:dyDescent="0.3">
      <c r="A533" t="s">
        <v>548</v>
      </c>
      <c r="B533" t="s">
        <v>174</v>
      </c>
      <c r="C533" t="s">
        <v>1943</v>
      </c>
      <c r="D533" t="s">
        <v>1944</v>
      </c>
      <c r="E533" t="s">
        <v>1945</v>
      </c>
      <c r="F533" t="s">
        <v>1946</v>
      </c>
      <c r="G533" t="s">
        <v>1947</v>
      </c>
      <c r="H533" t="s">
        <v>554</v>
      </c>
      <c r="I533" t="s">
        <v>85</v>
      </c>
    </row>
    <row r="534" spans="1:9" ht="11.25" customHeight="1" x14ac:dyDescent="0.3">
      <c r="A534" t="s">
        <v>548</v>
      </c>
      <c r="B534" t="s">
        <v>174</v>
      </c>
      <c r="C534" t="s">
        <v>1948</v>
      </c>
      <c r="D534" t="s">
        <v>1949</v>
      </c>
      <c r="E534" t="s">
        <v>1945</v>
      </c>
      <c r="F534" t="s">
        <v>1950</v>
      </c>
      <c r="G534" t="s">
        <v>554</v>
      </c>
      <c r="H534" t="s">
        <v>554</v>
      </c>
      <c r="I534" t="s">
        <v>85</v>
      </c>
    </row>
  </sheetData>
  <sheetProtection formatColumns="0" formatRows="0" insertRows="0" deleteColumns="0" deleteRows="0" sort="0" autoFilter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A1F-3691-999F-6145-4E8715A1AF67}">
  <sheetPr>
    <tabColor rgb="FFFFCC99"/>
  </sheetPr>
  <dimension ref="A1:B1"/>
  <sheetViews>
    <sheetView workbookViewId="0"/>
  </sheetViews>
  <sheetFormatPr defaultColWidth="9.109375" defaultRowHeight="12.75" customHeight="1" x14ac:dyDescent="0.3"/>
  <sheetData>
    <row r="1" spans="1:2" ht="12.75" customHeight="1" x14ac:dyDescent="0.25">
      <c r="A1" s="154" t="s">
        <v>1951</v>
      </c>
      <c r="B1" s="154" t="s">
        <v>1952</v>
      </c>
    </row>
  </sheetData>
  <sheetProtection insertRows="0" deleteColumns="0" deleteRows="0" sort="0" autoFilter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37917-32B8-1F91-13FB-B43D3FBA0596}">
  <sheetPr>
    <tabColor rgb="FFFF0000"/>
  </sheetPr>
  <dimension ref="B2:B4"/>
  <sheetViews>
    <sheetView showGridLines="0" showRowColHeaders="0" workbookViewId="0"/>
  </sheetViews>
  <sheetFormatPr defaultColWidth="9.109375" defaultRowHeight="12.75" customHeight="1" x14ac:dyDescent="0.3"/>
  <cols>
    <col min="2" max="2" width="155.44140625" customWidth="1"/>
  </cols>
  <sheetData>
    <row r="2" spans="2:2" ht="81" customHeight="1" x14ac:dyDescent="0.3">
      <c r="B2" s="17" t="s">
        <v>1953</v>
      </c>
    </row>
    <row r="4" spans="2:2" ht="68.25" customHeight="1" x14ac:dyDescent="0.3">
      <c r="B4" s="90" t="s">
        <v>1954</v>
      </c>
    </row>
  </sheetData>
  <sheetProtection formatColumns="0" formatRows="0" insertRows="0" deleteColumns="0" deleteRows="0" sort="0" autoFilter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6CDE-993A-09C8-D055-6ED9D83F63EE}">
  <dimension ref="A1:J49"/>
  <sheetViews>
    <sheetView showGridLines="0" tabSelected="1" topLeftCell="B8" workbookViewId="0">
      <selection activeCell="N32" sqref="N32"/>
    </sheetView>
  </sheetViews>
  <sheetFormatPr defaultColWidth="9.109375" defaultRowHeight="11.25" customHeight="1" x14ac:dyDescent="0.3"/>
  <cols>
    <col min="1" max="1" width="18.109375" hidden="1" customWidth="1"/>
    <col min="2" max="2" width="3.5546875" customWidth="1"/>
    <col min="3" max="3" width="40.5546875" customWidth="1"/>
    <col min="4" max="4" width="48.44140625" customWidth="1"/>
    <col min="5" max="5" width="35.88671875" hidden="1" customWidth="1"/>
    <col min="6" max="6" width="38.33203125" hidden="1" customWidth="1"/>
    <col min="10" max="10" width="8.33203125" hidden="1" customWidth="1"/>
  </cols>
  <sheetData>
    <row r="1" spans="3:5" ht="11.25" hidden="1" customHeight="1" x14ac:dyDescent="0.2">
      <c r="C1" s="21"/>
      <c r="D1" s="22"/>
      <c r="E1" s="23" t="s">
        <v>1955</v>
      </c>
    </row>
    <row r="2" spans="3:5" ht="11.25" hidden="1" customHeight="1" x14ac:dyDescent="0.2">
      <c r="C2" s="21"/>
      <c r="D2" s="22"/>
    </row>
    <row r="3" spans="3:5" ht="11.25" hidden="1" customHeight="1" x14ac:dyDescent="0.2">
      <c r="C3" s="21"/>
      <c r="D3" s="22"/>
    </row>
    <row r="4" spans="3:5" ht="11.25" hidden="1" customHeight="1" x14ac:dyDescent="0.2">
      <c r="C4" s="21"/>
      <c r="D4" s="22"/>
    </row>
    <row r="5" spans="3:5" ht="11.25" hidden="1" customHeight="1" x14ac:dyDescent="0.2">
      <c r="C5" s="21"/>
      <c r="D5" s="22"/>
    </row>
    <row r="6" spans="3:5" ht="11.25" hidden="1" customHeight="1" x14ac:dyDescent="0.2">
      <c r="C6" s="21"/>
      <c r="D6" s="22"/>
    </row>
    <row r="7" spans="3:5" ht="11.25" hidden="1" customHeight="1" x14ac:dyDescent="0.2">
      <c r="C7" s="21"/>
      <c r="D7" s="22"/>
    </row>
    <row r="8" spans="3:5" ht="15.75" customHeight="1" x14ac:dyDescent="0.2">
      <c r="C8" s="21"/>
      <c r="D8" s="24"/>
    </row>
    <row r="9" spans="3:5" ht="18.75" customHeight="1" x14ac:dyDescent="0.3">
      <c r="C9" s="293" t="s">
        <v>1956</v>
      </c>
      <c r="D9" s="293"/>
    </row>
    <row r="10" spans="3:5" ht="3" customHeight="1" x14ac:dyDescent="0.2">
      <c r="C10" s="21"/>
      <c r="D10" s="294"/>
    </row>
    <row r="11" spans="3:5" ht="4.5" customHeight="1" x14ac:dyDescent="0.3">
      <c r="C11" s="25"/>
      <c r="D11" s="295"/>
    </row>
    <row r="12" spans="3:5" ht="20.25" customHeight="1" x14ac:dyDescent="0.3">
      <c r="C12" s="26" t="s">
        <v>1957</v>
      </c>
      <c r="D12" s="27" t="s">
        <v>174</v>
      </c>
    </row>
    <row r="13" spans="3:5" ht="5.25" customHeight="1" x14ac:dyDescent="0.3"/>
    <row r="14" spans="3:5" ht="22.5" customHeight="1" x14ac:dyDescent="0.3">
      <c r="C14" s="26" t="s">
        <v>1958</v>
      </c>
      <c r="D14" s="248" t="s">
        <v>34</v>
      </c>
    </row>
    <row r="15" spans="3:5" ht="5.25" customHeight="1" x14ac:dyDescent="0.2">
      <c r="C15" s="26"/>
      <c r="D15" s="22"/>
    </row>
    <row r="16" spans="3:5" ht="22.5" customHeight="1" x14ac:dyDescent="0.3">
      <c r="C16" s="29" t="s">
        <v>1959</v>
      </c>
      <c r="D16" s="249">
        <v>2020</v>
      </c>
    </row>
    <row r="17" spans="3:6" ht="5.25" customHeight="1" x14ac:dyDescent="0.3">
      <c r="C17" s="26"/>
      <c r="D17" s="30"/>
    </row>
    <row r="18" spans="3:6" ht="20.25" customHeight="1" x14ac:dyDescent="0.3">
      <c r="C18" s="26" t="s">
        <v>1960</v>
      </c>
      <c r="D18" s="31" t="s">
        <v>1961</v>
      </c>
    </row>
    <row r="19" spans="3:6" ht="5.25" customHeight="1" x14ac:dyDescent="0.3">
      <c r="C19" s="26"/>
      <c r="D19" s="30"/>
    </row>
    <row r="20" spans="3:6" ht="20.25" customHeight="1" x14ac:dyDescent="0.3">
      <c r="C20" s="26" t="s">
        <v>1962</v>
      </c>
      <c r="D20" s="32">
        <v>2022</v>
      </c>
    </row>
    <row r="21" spans="3:6" ht="5.25" customHeight="1" x14ac:dyDescent="0.3"/>
    <row r="22" spans="3:6" ht="20.25" customHeight="1" x14ac:dyDescent="0.3">
      <c r="C22" s="29" t="s">
        <v>1963</v>
      </c>
      <c r="D22" s="31" t="s">
        <v>1964</v>
      </c>
    </row>
    <row r="23" spans="3:6" ht="5.25" customHeight="1" x14ac:dyDescent="0.2">
      <c r="C23" s="33"/>
      <c r="D23" s="22"/>
    </row>
    <row r="24" spans="3:6" ht="20.25" customHeight="1" x14ac:dyDescent="0.3">
      <c r="C24" s="34" t="s">
        <v>1965</v>
      </c>
      <c r="D24" s="250" t="s">
        <v>1966</v>
      </c>
      <c r="F24" s="23" t="s">
        <v>1769</v>
      </c>
    </row>
    <row r="25" spans="3:6" ht="1.5" customHeight="1" x14ac:dyDescent="0.3"/>
    <row r="26" spans="3:6" ht="20.25" customHeight="1" x14ac:dyDescent="0.3">
      <c r="C26" s="34" t="s">
        <v>1967</v>
      </c>
      <c r="D26" s="31" t="s">
        <v>1770</v>
      </c>
    </row>
    <row r="27" spans="3:6" ht="42" hidden="1" customHeight="1" x14ac:dyDescent="0.3">
      <c r="C27" s="34" t="s">
        <v>1968</v>
      </c>
      <c r="D27" s="251"/>
    </row>
    <row r="28" spans="3:6" ht="20.25" customHeight="1" x14ac:dyDescent="0.3">
      <c r="C28" s="34" t="s">
        <v>1969</v>
      </c>
      <c r="D28" s="31" t="s">
        <v>1771</v>
      </c>
    </row>
    <row r="29" spans="3:6" ht="20.25" customHeight="1" x14ac:dyDescent="0.3">
      <c r="C29" s="34" t="s">
        <v>1970</v>
      </c>
      <c r="D29" s="31" t="s">
        <v>584</v>
      </c>
    </row>
    <row r="30" spans="3:6" ht="20.25" hidden="1" customHeight="1" x14ac:dyDescent="0.3">
      <c r="C30" s="29" t="s">
        <v>1971</v>
      </c>
      <c r="D30" s="31"/>
    </row>
    <row r="31" spans="3:6" ht="5.25" customHeight="1" x14ac:dyDescent="0.3">
      <c r="C31" s="29"/>
    </row>
    <row r="32" spans="3:6" ht="20.25" customHeight="1" x14ac:dyDescent="0.3">
      <c r="D32" s="35" t="s">
        <v>1972</v>
      </c>
    </row>
    <row r="33" spans="3:4" ht="20.25" customHeight="1" x14ac:dyDescent="0.3">
      <c r="C33" s="34" t="s">
        <v>1973</v>
      </c>
      <c r="D33" s="252" t="s">
        <v>1974</v>
      </c>
    </row>
    <row r="34" spans="3:4" ht="20.25" customHeight="1" x14ac:dyDescent="0.3">
      <c r="C34" s="34" t="s">
        <v>1975</v>
      </c>
      <c r="D34" s="252" t="s">
        <v>1976</v>
      </c>
    </row>
    <row r="35" spans="3:4" ht="5.25" customHeight="1" x14ac:dyDescent="0.3">
      <c r="C35" s="36"/>
      <c r="D35" s="37"/>
    </row>
    <row r="36" spans="3:4" ht="20.25" customHeight="1" x14ac:dyDescent="0.3">
      <c r="C36" s="36"/>
      <c r="D36" s="38" t="s">
        <v>1977</v>
      </c>
    </row>
    <row r="37" spans="3:4" ht="20.25" customHeight="1" x14ac:dyDescent="0.3">
      <c r="C37" s="29" t="s">
        <v>1978</v>
      </c>
      <c r="D37" s="252" t="s">
        <v>1979</v>
      </c>
    </row>
    <row r="38" spans="3:4" ht="20.25" customHeight="1" x14ac:dyDescent="0.3">
      <c r="C38" s="29" t="s">
        <v>1980</v>
      </c>
      <c r="D38" s="39" t="s">
        <v>1981</v>
      </c>
    </row>
    <row r="39" spans="3:4" ht="20.25" customHeight="1" x14ac:dyDescent="0.3">
      <c r="C39" s="29" t="s">
        <v>1982</v>
      </c>
      <c r="D39" s="39" t="s">
        <v>1983</v>
      </c>
    </row>
    <row r="40" spans="3:4" ht="5.25" customHeight="1" x14ac:dyDescent="0.3">
      <c r="C40" s="36"/>
      <c r="D40" s="37"/>
    </row>
    <row r="41" spans="3:4" ht="20.25" customHeight="1" x14ac:dyDescent="0.3">
      <c r="D41" s="7" t="s">
        <v>1984</v>
      </c>
    </row>
    <row r="42" spans="3:4" ht="20.25" customHeight="1" x14ac:dyDescent="0.3">
      <c r="C42" s="34" t="s">
        <v>1978</v>
      </c>
      <c r="D42" s="252" t="s">
        <v>1985</v>
      </c>
    </row>
    <row r="43" spans="3:4" ht="20.25" customHeight="1" x14ac:dyDescent="0.3">
      <c r="C43" s="34" t="s">
        <v>1982</v>
      </c>
      <c r="D43" s="39" t="s">
        <v>1983</v>
      </c>
    </row>
    <row r="44" spans="3:4" ht="5.25" customHeight="1" x14ac:dyDescent="0.3">
      <c r="C44" s="36"/>
      <c r="D44" s="37"/>
    </row>
    <row r="45" spans="3:4" ht="30" customHeight="1" x14ac:dyDescent="0.3">
      <c r="C45" s="36"/>
      <c r="D45" s="38" t="s">
        <v>1986</v>
      </c>
    </row>
    <row r="46" spans="3:4" ht="20.25" customHeight="1" x14ac:dyDescent="0.3">
      <c r="C46" s="26" t="s">
        <v>1978</v>
      </c>
      <c r="D46" s="252" t="s">
        <v>1987</v>
      </c>
    </row>
    <row r="47" spans="3:4" ht="20.25" customHeight="1" x14ac:dyDescent="0.3">
      <c r="C47" s="26" t="s">
        <v>1980</v>
      </c>
      <c r="D47" s="252" t="s">
        <v>1988</v>
      </c>
    </row>
    <row r="48" spans="3:4" ht="20.25" customHeight="1" x14ac:dyDescent="0.3">
      <c r="C48" s="26" t="s">
        <v>1982</v>
      </c>
      <c r="D48" s="252" t="s">
        <v>1989</v>
      </c>
    </row>
    <row r="49" spans="3:4" ht="20.25" customHeight="1" x14ac:dyDescent="0.3">
      <c r="C49" s="26" t="s">
        <v>1990</v>
      </c>
      <c r="D49" s="39" t="s">
        <v>1991</v>
      </c>
    </row>
  </sheetData>
  <sheetProtection formatColumns="0" formatRows="0" insertRows="0" deleteColumns="0" deleteRows="0" sort="0" autoFilter="0"/>
  <mergeCells count="2">
    <mergeCell ref="C9:D9"/>
    <mergeCell ref="D10:D11"/>
  </mergeCells>
  <dataValidations count="2">
    <dataValidation allowBlank="1" sqref="D28:D30 D32" xr:uid="{00000000-0002-0000-0700-000000000000}"/>
    <dataValidation type="textLength" operator="lessThanOrEqual" allowBlank="1" showInputMessage="1" showErrorMessage="1" errorTitle="Ошибка" error="Допускается ввод не более 900 символов!" sqref="D43 D38:D39 D49 D27" xr:uid="{00000000-0002-0000-0700-000001000000}">
      <formula1>900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B3F2-F23F-EE83-DB0F-3E4EDD59F0A8}">
  <dimension ref="A1:Q23"/>
  <sheetViews>
    <sheetView showGridLines="0" topLeftCell="K1" workbookViewId="0"/>
  </sheetViews>
  <sheetFormatPr defaultColWidth="9.109375" defaultRowHeight="11.25" customHeight="1" x14ac:dyDescent="0.3"/>
  <cols>
    <col min="1" max="1" width="16.88671875" hidden="1" customWidth="1"/>
    <col min="2" max="4" width="6.44140625" hidden="1" customWidth="1"/>
    <col min="5" max="5" width="6.33203125" hidden="1" customWidth="1"/>
    <col min="6" max="6" width="36.33203125" hidden="1" customWidth="1"/>
    <col min="7" max="7" width="47.5546875" hidden="1" customWidth="1"/>
    <col min="8" max="10" width="9.109375" hidden="1"/>
    <col min="12" max="12" width="12.33203125" customWidth="1"/>
    <col min="13" max="13" width="66.109375" customWidth="1"/>
    <col min="14" max="14" width="5.6640625" hidden="1" customWidth="1"/>
    <col min="15" max="15" width="19.44140625" customWidth="1"/>
    <col min="16" max="17" width="9.109375" hidden="1"/>
  </cols>
  <sheetData>
    <row r="1" spans="5:17" ht="1.5" customHeight="1" x14ac:dyDescent="0.3"/>
    <row r="2" spans="5:17" ht="1.5" customHeight="1" x14ac:dyDescent="0.3"/>
    <row r="3" spans="5:17" ht="20.25" hidden="1" customHeight="1" x14ac:dyDescent="0.3">
      <c r="E3" s="296"/>
      <c r="F3" s="296"/>
    </row>
    <row r="4" spans="5:17" ht="1.5" customHeight="1" x14ac:dyDescent="0.3"/>
    <row r="5" spans="5:17" ht="24" customHeight="1" x14ac:dyDescent="0.3">
      <c r="E5" s="1"/>
      <c r="F5" s="1"/>
      <c r="G5" s="1"/>
      <c r="L5" s="297" t="s">
        <v>1992</v>
      </c>
      <c r="M5" s="297"/>
      <c r="N5" s="2"/>
      <c r="O5" s="2"/>
    </row>
    <row r="6" spans="5:17" ht="1.5" customHeight="1" x14ac:dyDescent="0.3"/>
    <row r="7" spans="5:17" ht="1.5" customHeight="1" x14ac:dyDescent="0.3"/>
    <row r="8" spans="5:17" ht="22.5" customHeight="1" x14ac:dyDescent="0.3">
      <c r="L8" s="3" t="s">
        <v>1993</v>
      </c>
      <c r="M8" s="4" t="s">
        <v>1994</v>
      </c>
      <c r="N8" s="5"/>
      <c r="O8" s="6" t="s">
        <v>1995</v>
      </c>
      <c r="Q8" s="7" t="b">
        <f>TRUE</f>
        <v>1</v>
      </c>
    </row>
    <row r="9" spans="5:17" ht="22.5" customHeight="1" x14ac:dyDescent="0.3">
      <c r="L9" s="3" t="s">
        <v>1993</v>
      </c>
      <c r="M9" s="4" t="s">
        <v>1996</v>
      </c>
      <c r="N9" s="5"/>
      <c r="O9" s="6" t="s">
        <v>1995</v>
      </c>
      <c r="Q9" s="7" t="b">
        <f>TRUE</f>
        <v>1</v>
      </c>
    </row>
    <row r="10" spans="5:17" ht="22.5" customHeight="1" x14ac:dyDescent="0.3">
      <c r="L10" s="3" t="s">
        <v>1993</v>
      </c>
      <c r="M10" s="4" t="s">
        <v>1997</v>
      </c>
      <c r="N10" s="5"/>
      <c r="O10" s="6" t="s">
        <v>1995</v>
      </c>
      <c r="Q10" s="7" t="b">
        <f>TRUE</f>
        <v>1</v>
      </c>
    </row>
    <row r="11" spans="5:17" ht="22.5" hidden="1" customHeight="1" x14ac:dyDescent="0.3">
      <c r="L11" s="6" t="s">
        <v>1993</v>
      </c>
      <c r="M11" s="4" t="s">
        <v>1998</v>
      </c>
      <c r="N11" s="5"/>
      <c r="O11" s="6" t="s">
        <v>1995</v>
      </c>
      <c r="Q11" s="7" t="b">
        <f>FIRST_PERIOD_IN_LT&lt;2018</f>
        <v>0</v>
      </c>
    </row>
    <row r="12" spans="5:17" ht="22.5" hidden="1" customHeight="1" x14ac:dyDescent="0.3">
      <c r="L12" s="6" t="s">
        <v>1993</v>
      </c>
      <c r="M12" s="4" t="s">
        <v>1999</v>
      </c>
      <c r="N12" s="5"/>
      <c r="O12" s="6" t="s">
        <v>1995</v>
      </c>
      <c r="Q12" s="7" t="b">
        <f>FIRST_PERIOD_IN_LT&lt;2018</f>
        <v>0</v>
      </c>
    </row>
    <row r="13" spans="5:17" ht="22.5" hidden="1" customHeight="1" x14ac:dyDescent="0.3">
      <c r="L13" s="6" t="s">
        <v>1993</v>
      </c>
      <c r="M13" s="4" t="s">
        <v>2000</v>
      </c>
      <c r="N13" s="5"/>
      <c r="O13" s="6" t="s">
        <v>1995</v>
      </c>
      <c r="Q13" s="7" t="b">
        <f>FIRST_PERIOD_IN_LT&lt;2018</f>
        <v>0</v>
      </c>
    </row>
    <row r="14" spans="5:17" ht="22.5" customHeight="1" x14ac:dyDescent="0.3">
      <c r="L14" s="6" t="s">
        <v>1993</v>
      </c>
      <c r="M14" s="4" t="s">
        <v>2001</v>
      </c>
      <c r="N14" s="5"/>
      <c r="O14" s="6" t="s">
        <v>1995</v>
      </c>
      <c r="Q14" s="7" t="b">
        <f>TRUE</f>
        <v>1</v>
      </c>
    </row>
    <row r="15" spans="5:17" ht="22.5" customHeight="1" x14ac:dyDescent="0.3">
      <c r="L15" s="6" t="s">
        <v>1993</v>
      </c>
      <c r="M15" s="4" t="s">
        <v>2002</v>
      </c>
      <c r="N15" s="5"/>
      <c r="O15" s="6" t="s">
        <v>1995</v>
      </c>
      <c r="Q15" s="7" t="b">
        <f>TRUE</f>
        <v>1</v>
      </c>
    </row>
    <row r="16" spans="5:17" ht="22.5" customHeight="1" x14ac:dyDescent="0.3">
      <c r="L16" s="6" t="s">
        <v>1993</v>
      </c>
      <c r="M16" s="4" t="s">
        <v>2003</v>
      </c>
      <c r="N16" s="5"/>
      <c r="O16" s="6" t="s">
        <v>1995</v>
      </c>
      <c r="Q16" s="7" t="b">
        <f>TRUE</f>
        <v>1</v>
      </c>
    </row>
    <row r="17" spans="12:17" ht="22.5" customHeight="1" x14ac:dyDescent="0.3">
      <c r="L17" s="6" t="s">
        <v>1993</v>
      </c>
      <c r="M17" s="4" t="s">
        <v>2004</v>
      </c>
      <c r="N17" s="5"/>
      <c r="O17" s="6" t="s">
        <v>1995</v>
      </c>
      <c r="Q17" s="7" t="b">
        <f>TRUE</f>
        <v>1</v>
      </c>
    </row>
    <row r="18" spans="12:17" ht="22.5" customHeight="1" x14ac:dyDescent="0.3">
      <c r="L18" s="6" t="s">
        <v>1993</v>
      </c>
      <c r="M18" s="4" t="s">
        <v>2005</v>
      </c>
      <c r="N18" s="5"/>
      <c r="O18" s="6" t="s">
        <v>1995</v>
      </c>
      <c r="Q18" s="7" t="b">
        <f>TRUE</f>
        <v>1</v>
      </c>
    </row>
    <row r="19" spans="12:17" ht="22.5" customHeight="1" x14ac:dyDescent="0.3">
      <c r="L19" s="6" t="s">
        <v>1993</v>
      </c>
      <c r="M19" s="4" t="s">
        <v>2006</v>
      </c>
      <c r="N19" s="5"/>
      <c r="O19" s="6" t="s">
        <v>1995</v>
      </c>
      <c r="Q19" s="7" t="b">
        <f>TRUE</f>
        <v>1</v>
      </c>
    </row>
    <row r="20" spans="12:17" ht="22.5" customHeight="1" x14ac:dyDescent="0.3">
      <c r="L20" s="6" t="s">
        <v>1993</v>
      </c>
      <c r="M20" s="4" t="s">
        <v>2007</v>
      </c>
      <c r="N20" s="5"/>
      <c r="O20" s="6" t="s">
        <v>1995</v>
      </c>
      <c r="Q20" s="7" t="b">
        <f>TRUE</f>
        <v>1</v>
      </c>
    </row>
    <row r="21" spans="12:17" ht="22.5" customHeight="1" x14ac:dyDescent="0.3">
      <c r="L21" s="6" t="s">
        <v>1993</v>
      </c>
      <c r="M21" s="4" t="s">
        <v>2008</v>
      </c>
      <c r="N21" s="5"/>
      <c r="O21" s="6" t="s">
        <v>1995</v>
      </c>
      <c r="Q21" s="7" t="b">
        <f>TRUE</f>
        <v>1</v>
      </c>
    </row>
    <row r="22" spans="12:17" ht="22.5" customHeight="1" x14ac:dyDescent="0.3">
      <c r="L22" s="6" t="s">
        <v>1993</v>
      </c>
      <c r="M22" s="4" t="s">
        <v>2009</v>
      </c>
      <c r="N22" s="5"/>
      <c r="O22" s="6" t="s">
        <v>1995</v>
      </c>
      <c r="Q22" s="7" t="b">
        <f>TRUE</f>
        <v>1</v>
      </c>
    </row>
    <row r="23" spans="12:17" ht="22.5" customHeight="1" x14ac:dyDescent="0.3">
      <c r="L23" s="6" t="s">
        <v>1993</v>
      </c>
      <c r="M23" s="4" t="s">
        <v>2010</v>
      </c>
      <c r="N23" s="5"/>
      <c r="O23" s="6" t="s">
        <v>1995</v>
      </c>
      <c r="Q23" s="7" t="b">
        <f>TRUE</f>
        <v>1</v>
      </c>
    </row>
  </sheetData>
  <sheetProtection formatColumns="0" formatRows="0" insertRows="0" deleteColumns="0" deleteRows="0" sort="0" autoFilter="0"/>
  <mergeCells count="2">
    <mergeCell ref="E3:F3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29" baseType="lpstr">
      <vt:lpstr>TEHSHEET</vt:lpstr>
      <vt:lpstr>et_union</vt:lpstr>
      <vt:lpstr>Инструкция</vt:lpstr>
      <vt:lpstr>REESTR_MO</vt:lpstr>
      <vt:lpstr>REESTR_ORG</vt:lpstr>
      <vt:lpstr>ATTACH_DOC</vt:lpstr>
      <vt:lpstr>Информация</vt:lpstr>
      <vt:lpstr>Титульный</vt:lpstr>
      <vt:lpstr>Список листов</vt:lpstr>
      <vt:lpstr>ф.2.1 ИндИнф (Ин)</vt:lpstr>
      <vt:lpstr>ф.2.2 ИндИспол (Ис)</vt:lpstr>
      <vt:lpstr>ф.2.3 ИндРезульт (Рс)</vt:lpstr>
      <vt:lpstr>ф.1.3 Ср.продолж.</vt:lpstr>
      <vt:lpstr>ф.8.1 Журнал учета</vt:lpstr>
      <vt:lpstr>ф.8.1.1 Ведомость_свод</vt:lpstr>
      <vt:lpstr>ф.8.3 Индикатив</vt:lpstr>
      <vt:lpstr>Ф.3.1Ф3.2 ПоказТехприс (Птпр)</vt:lpstr>
      <vt:lpstr>Форма 4.1 расч.</vt:lpstr>
      <vt:lpstr>Форма 4.2 расч.</vt:lpstr>
      <vt:lpstr>ф.1.9 Характеристика</vt:lpstr>
      <vt:lpstr>Ф9.1Ф9.2</vt:lpstr>
      <vt:lpstr>Сопроводительные материалы</vt:lpstr>
      <vt:lpstr>'ф.8.1 Журнал учета'!_ФильтрБазыДанных</vt:lpstr>
      <vt:lpstr>activity</vt:lpstr>
      <vt:lpstr>add_02</vt:lpstr>
      <vt:lpstr>add_04</vt:lpstr>
      <vt:lpstr>add_99_coms</vt:lpstr>
      <vt:lpstr>add_coms</vt:lpstr>
      <vt:lpstr>add_DOC</vt:lpstr>
      <vt:lpstr>bln_binary</vt:lpstr>
      <vt:lpstr>buh_FIO</vt:lpstr>
      <vt:lpstr>buh_tel</vt:lpstr>
      <vt:lpstr>CHECK_DOCS</vt:lpstr>
      <vt:lpstr>CODE</vt:lpstr>
      <vt:lpstr>DAY</vt:lpstr>
      <vt:lpstr>DOC_ADD_HL_MARKER</vt:lpstr>
      <vt:lpstr>DOC_ADD_HL_MARKER_ALL</vt:lpstr>
      <vt:lpstr>DOC_ADD_HL_MARKER_DOP</vt:lpstr>
      <vt:lpstr>DOC_DELETE_COLUMN_MARKER</vt:lpstr>
      <vt:lpstr>doc_list</vt:lpstr>
      <vt:lpstr>DOC_NOMER</vt:lpstr>
      <vt:lpstr>DOC_NUM_COLUMN_MARKER</vt:lpstr>
      <vt:lpstr>DOC_vis_flags</vt:lpstr>
      <vt:lpstr>END_COLUMN_DOC</vt:lpstr>
      <vt:lpstr>end_DOC</vt:lpstr>
      <vt:lpstr>END_ROW_DOC</vt:lpstr>
      <vt:lpstr>f_1_3_vis_reg_flags</vt:lpstr>
      <vt:lpstr>f_1_9_vis_reg_flags</vt:lpstr>
      <vt:lpstr>f_4_1_vis_reg_flags</vt:lpstr>
      <vt:lpstr>f_4_2_vis_reg_flags</vt:lpstr>
      <vt:lpstr>f_8_1_1_dnld_clck</vt:lpstr>
      <vt:lpstr>f_8_1_1_docs</vt:lpstr>
      <vt:lpstr>f_8_1_add_row</vt:lpstr>
      <vt:lpstr>f_8_1_ae</vt:lpstr>
      <vt:lpstr>f_8_1_count_to_reliability_org</vt:lpstr>
      <vt:lpstr>f_8_1_count_to_reliability_reg</vt:lpstr>
      <vt:lpstr>f_8_1_date1</vt:lpstr>
      <vt:lpstr>f_8_1_date2</vt:lpstr>
      <vt:lpstr>f_8_1_orgclick</vt:lpstr>
      <vt:lpstr>f_8_1_timeOFF</vt:lpstr>
      <vt:lpstr>f_8_1_URL</vt:lpstr>
      <vt:lpstr>f_8_1_vis_flags</vt:lpstr>
      <vt:lpstr>f_8_1_vis_reg_flags</vt:lpstr>
      <vt:lpstr>f_8_3_vis_reg_flags</vt:lpstr>
      <vt:lpstr>f_9_1_vis_reg_flags</vt:lpstr>
      <vt:lpstr>f_p_vis_reg_flags</vt:lpstr>
      <vt:lpstr>F1_3_F1_7_FACT</vt:lpstr>
      <vt:lpstr>F1_3_F1_7_FACT_BLOC_1</vt:lpstr>
      <vt:lpstr>F1_9_FACT_BLOC_1</vt:lpstr>
      <vt:lpstr>F2_1_PLAN_BLOC_1</vt:lpstr>
      <vt:lpstr>F2_2_PLAN_BLOC_1</vt:lpstr>
      <vt:lpstr>F2_3_PLAN_BLOC_1</vt:lpstr>
      <vt:lpstr>F3_FACT_BLOC_1</vt:lpstr>
      <vt:lpstr>FACT_YEAR</vt:lpstr>
      <vt:lpstr>fil</vt:lpstr>
      <vt:lpstr>fil_flag</vt:lpstr>
      <vt:lpstr>FIRST_PERIOD_IN_FACT</vt:lpstr>
      <vt:lpstr>FIRST_PERIOD_IN_LT</vt:lpstr>
      <vt:lpstr>FIRST_PERIOD_INDEX</vt:lpstr>
      <vt:lpstr>god</vt:lpstr>
      <vt:lpstr>inn</vt:lpstr>
      <vt:lpstr>isp_dol</vt:lpstr>
      <vt:lpstr>isp_FIO</vt:lpstr>
      <vt:lpstr>isp_mail</vt:lpstr>
      <vt:lpstr>isp_tel</vt:lpstr>
      <vt:lpstr>kpp</vt:lpstr>
      <vt:lpstr>kvartal</vt:lpstr>
      <vt:lpstr>LINK_DOC_MASK</vt:lpstr>
      <vt:lpstr>LIST_WS_vis_flags</vt:lpstr>
      <vt:lpstr>logic</vt:lpstr>
      <vt:lpstr>MONTH</vt:lpstr>
      <vt:lpstr>MONTH_CH</vt:lpstr>
      <vt:lpstr>org</vt:lpstr>
      <vt:lpstr>org_f_address</vt:lpstr>
      <vt:lpstr>ORG_ID</vt:lpstr>
      <vt:lpstr>org_u_address</vt:lpstr>
      <vt:lpstr>OVER_PERIOD_3</vt:lpstr>
      <vt:lpstr>OVER_PERIOD_4</vt:lpstr>
      <vt:lpstr>OVER_PERIOD_5</vt:lpstr>
      <vt:lpstr>Period</vt:lpstr>
      <vt:lpstr>PERIOD_LENGTH</vt:lpstr>
      <vt:lpstr>PERIOD_LIST</vt:lpstr>
      <vt:lpstr>PLAN_YEAR</vt:lpstr>
      <vt:lpstr>POSSIBLE_PERIOD_LENGTH</vt:lpstr>
      <vt:lpstr>REGION</vt:lpstr>
      <vt:lpstr>region_name</vt:lpstr>
      <vt:lpstr>REPORT_OWNER</vt:lpstr>
      <vt:lpstr>ruk_dol</vt:lpstr>
      <vt:lpstr>ruk_FIO</vt:lpstr>
      <vt:lpstr>ruk_tel</vt:lpstr>
      <vt:lpstr>SAX_PARSER_FEATURE</vt:lpstr>
      <vt:lpstr>selected_region</vt:lpstr>
      <vt:lpstr>SphereList</vt:lpstr>
      <vt:lpstr>SphereList_ru</vt:lpstr>
      <vt:lpstr>tariff_num</vt:lpstr>
      <vt:lpstr>TemplateState</vt:lpstr>
      <vt:lpstr>TestMode</vt:lpstr>
      <vt:lpstr>TIT_CONTACT</vt:lpstr>
      <vt:lpstr>TitHeader</vt:lpstr>
      <vt:lpstr>TYPE_OBGECT</vt:lpstr>
      <vt:lpstr>TYPE_TERMINATION</vt:lpstr>
      <vt:lpstr>VERSION</vt:lpstr>
      <vt:lpstr>VID_END_EE</vt:lpstr>
      <vt:lpstr>VID_OBJECT</vt:lpstr>
      <vt:lpstr>ws_02_add_row</vt:lpstr>
      <vt:lpstr>ws_02_Check_date</vt:lpstr>
      <vt:lpstr>XML_DICTIONARIES_LIST_TAG_NAMES</vt:lpstr>
      <vt:lpstr>XML_MR_MO_OKTMO_LIST_TAG_NAMES</vt:lpstr>
      <vt:lpstr>XML_ORG_LIST_TAG_NAMES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уровня надежности и качества поставляемых товаров и услуг</dc:title>
  <dc:subject>Расчет уровня надежности и качества поставляемых товаров и услуг</dc:subject>
  <dc:creator>admin</dc:creator>
  <cp:lastModifiedBy>Aleks</cp:lastModifiedBy>
  <cp:lastPrinted>2011-04-04T06:36:20Z</cp:lastPrinted>
  <dcterms:created xsi:type="dcterms:W3CDTF">2004-05-21T07:18:45Z</dcterms:created>
  <dcterms:modified xsi:type="dcterms:W3CDTF">2023-03-30T11:35:26Z</dcterms:modified>
</cp:coreProperties>
</file>