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786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инфор.'!$A$1:$N$31</definedName>
    <definedName name="_xlnm.Print_Area" localSheetId="1">'2 Показат. кач. передача'!$A$1:$T$49</definedName>
    <definedName name="_xlnm.Print_Area" localSheetId="2">'3 Показатели кач. тех. прис.'!$A$1:$T$27</definedName>
  </definedNames>
  <calcPr fullCalcOnLoad="1"/>
</workbook>
</file>

<file path=xl/sharedStrings.xml><?xml version="1.0" encoding="utf-8"?>
<sst xmlns="http://schemas.openxmlformats.org/spreadsheetml/2006/main" count="493" uniqueCount="265">
  <si>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</si>
  <si>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</si>
  <si>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</si>
  <si>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</si>
  <si>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</si>
  <si>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</si>
  <si>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</si>
  <si>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</si>
  <si>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</si>
  <si>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</si>
  <si>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</si>
  <si>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</si>
  <si>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</si>
  <si>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</si>
  <si>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</si>
  <si>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</si>
  <si>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</si>
  <si>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</si>
  <si>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</si>
  <si>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</si>
  <si>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</si>
  <si>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</si>
  <si>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</si>
  <si>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</si>
  <si>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</si>
  <si>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</si>
  <si>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</si>
  <si>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</si>
  <si>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</si>
  <si>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</si>
  <si>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</si>
  <si>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</si>
  <si>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</si>
  <si>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</si>
  <si>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</si>
  <si>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</si>
  <si>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</si>
  <si>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</si>
  <si>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</si>
  <si>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</si>
  <si>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</si>
  <si>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</si>
  <si>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</si>
  <si>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</si>
  <si>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</si>
  <si>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</si>
  <si>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</si>
  <si>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</si>
  <si>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Категория надежности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</si>
  <si>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</si>
  <si>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</si>
  <si>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</si>
  <si>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</si>
  <si>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</si>
  <si>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</si>
  <si>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</si>
  <si>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</si>
  <si>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</si>
  <si>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</si>
  <si>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</si>
  <si>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</si>
  <si>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</si>
  <si>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</si>
  <si>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</si>
  <si>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</si>
  <si>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</si>
  <si>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</si>
  <si>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</si>
  <si>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</si>
  <si>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</si>
  <si>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</si>
  <si>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</si>
  <si>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</si>
  <si>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</si>
  <si>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</si>
  <si>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</si>
  <si>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</si>
  <si>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</si>
  <si>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</si>
  <si>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</si>
  <si>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</si>
  <si>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</si>
  <si>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</si>
  <si>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</si>
  <si>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</si>
  <si>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</si>
  <si>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</si>
  <si>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</si>
  <si>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</si>
  <si>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</si>
  <si>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</si>
  <si>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</si>
  <si>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</si>
  <si>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</si>
  <si>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</si>
  <si>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</si>
  <si>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</si>
  <si>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</si>
  <si>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</si>
  <si>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</si>
  <si>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</si>
  <si>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</si>
  <si>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</si>
  <si>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</si>
  <si>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</si>
  <si>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</si>
  <si>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</si>
  <si>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</si>
  <si>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</si>
  <si>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</si>
  <si>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</si>
  <si>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</si>
  <si>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</si>
  <si>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</si>
  <si>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</si>
  <si>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</si>
  <si>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</si>
  <si>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</si>
  <si>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</si>
  <si>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</si>
  <si>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</si>
  <si>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</si>
  <si>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</si>
  <si>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</si>
  <si>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</si>
  <si>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</si>
  <si>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</si>
  <si>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</si>
  <si>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</si>
  <si>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</si>
  <si>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</si>
  <si>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</si>
  <si>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</si>
  <si>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</si>
  <si>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</si>
  <si>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Заявка на оказание услуг: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</si>
  <si>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</si>
  <si>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</si>
  <si>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</si>
  <si>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</si>
  <si>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</si>
  <si>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</si>
  <si>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</si>
  <si>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</si>
  <si>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</si>
  <si>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</si>
  <si>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</si>
  <si>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</si>
  <si>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</si>
  <si>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</si>
  <si>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</si>
  <si>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 xml:space="preserve"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
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</si>
  <si>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
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</si>
  <si>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</si>
  <si>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</si>
  <si>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</si>
  <si>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</si>
  <si>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</si>
  <si>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</si>
  <si>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</si>
  <si>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</si>
  <si>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</si>
  <si>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</si>
  <si>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</si>
  <si>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</si>
  <si>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</si>
  <si>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</si>
  <si>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</si>
  <si>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</si>
  <si>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</si>
  <si>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</si>
  <si>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</si>
  <si>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</si>
  <si>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</si>
  <si>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</si>
  <si>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</si>
  <si>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</si>
  <si>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</si>
  <si>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</si>
  <si>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</si>
  <si>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</si>
  <si>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</si>
  <si>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</si>
  <si>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</si>
  <si>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</si>
  <si>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</si>
  <si>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</si>
  <si>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</si>
  <si>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* - обращений не поступало</t>
  </si>
  <si>
    <t>очный</t>
  </si>
  <si>
    <t>заочный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</si>
  <si>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</si>
  <si>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</si>
  <si>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</si>
  <si>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5</t>
  </si>
  <si>
    <t>6</t>
  </si>
  <si>
    <t>К-во точек поставки, всего</t>
  </si>
  <si>
    <t>К-во точек поставки, оборудованных ПУ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</si>
  <si>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</si>
  <si>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</si>
  <si>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</si>
  <si>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</si>
  <si>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</si>
  <si>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</si>
  <si>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</si>
  <si>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</si>
  <si>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</si>
  <si>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</si>
  <si>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</si>
  <si>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</si>
  <si>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</si>
  <si>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1. Общая информация о сетевой организации ООО "Гранат"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</si>
  <si>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</si>
  <si>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ООО "Гранат"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</si>
  <si>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ООО "Гранат" инвестиционной программы, утвержденной РЭК Омской области.</t>
    </r>
  </si>
  <si>
    <t>http://tso-granat.ru/centr-obsluzhivaniya-klientov/okno-podachi-zayavok-na-texnologicheskoe-prisoedinenie/</t>
  </si>
  <si>
    <t>4. Качество обслуживания потребителей ООО "Гранат"</t>
  </si>
  <si>
    <t>ТП/РП</t>
  </si>
  <si>
    <t>КЛ/ВЛ</t>
  </si>
  <si>
    <t>ООО "Гранат"</t>
  </si>
  <si>
    <t xml:space="preserve"> +</t>
  </si>
  <si>
    <t>Население и прирав.</t>
  </si>
  <si>
    <t>2. Информация о качестве услуг по передаче электрической энергии по сетям сетевой организации ООО "Гранат"</t>
  </si>
  <si>
    <t>Обращения потребителей:</t>
  </si>
  <si>
    <t>Жалобы:</t>
  </si>
  <si>
    <t>фиксируется</t>
  </si>
  <si>
    <t>не фиксируется</t>
  </si>
  <si>
    <t xml:space="preserve">  -</t>
  </si>
  <si>
    <t>II, III</t>
  </si>
  <si>
    <t xml:space="preserve"> - ИПУ в чжд</t>
  </si>
  <si>
    <t xml:space="preserve"> - ОДПУ в мжд</t>
  </si>
  <si>
    <t>приравн.</t>
  </si>
  <si>
    <t>г. Омск, ул. 10 лет Октября, 203, стр1, каб13</t>
  </si>
  <si>
    <t>10:00 - 16:00</t>
  </si>
  <si>
    <t>79-05-93</t>
  </si>
  <si>
    <t>Население и прирав.:</t>
  </si>
  <si>
    <t>79-05-93; granat2112@mail.ru</t>
  </si>
  <si>
    <t>1. Поощрение дружелюбия и коммуникабельности сотрудников ЦОК при работе с заявителем</t>
  </si>
  <si>
    <t>руб., без НДС</t>
  </si>
  <si>
    <t>Мощность энергопринимающих устройств заявителя, кВт</t>
  </si>
  <si>
    <t>I - II</t>
  </si>
  <si>
    <t>III</t>
  </si>
  <si>
    <t>Расстояние до границ земельного участка заявителя, м</t>
  </si>
  <si>
    <t>Необходимость строительства ТП</t>
  </si>
  <si>
    <t>Тип линии</t>
  </si>
  <si>
    <t>ЮЛ, ИП</t>
  </si>
  <si>
    <t>ЮЛ, ИП, ФЛ-льготники (СНТ, ГСК, церкви, объединения гаражей, сараев и т.д.)</t>
  </si>
  <si>
    <t>Способ расчета</t>
  </si>
  <si>
    <t>По стандартизированной тарифной ставке (постоянная схема)</t>
  </si>
  <si>
    <t>300 - городская местность</t>
  </si>
  <si>
    <t>Да</t>
  </si>
  <si>
    <t>КЛвн</t>
  </si>
  <si>
    <t>ВЛвн</t>
  </si>
  <si>
    <t>Нет</t>
  </si>
  <si>
    <t>КЛнн</t>
  </si>
  <si>
    <t>550 (с учетом НДС)</t>
  </si>
  <si>
    <t>ВЛнн</t>
  </si>
  <si>
    <t>500 - сельская местность</t>
  </si>
  <si>
    <t>Выполненный расчет является ориентировочным, итоговый расчет будет произведен после подачи заявки на ТП при подготовке договора об осуществлении технологического присоединения.</t>
  </si>
  <si>
    <t>2022 год (факт)</t>
  </si>
  <si>
    <t>1. Стоимость услуг тех. присоединения к сетям ИП Кацман В.В. определяется согласно тарифным ставкам, установленными в редакции  Приказа РЭК № 666/96 от 23.12.2021г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2022 год» Расчет окончательной стоимости определяется по формулам, указанным в Приложении №4 настоящего приказа.</t>
  </si>
  <si>
    <t>По льготной ставке за единицу мощности</t>
  </si>
  <si>
    <t>2022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</si>
  <si>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, а также динамика по отношению к году, предшествующему отчетному, заполняется в произвольной форме.</t>
  </si>
  <si>
    <t>13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</si>
</sst>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Calibri"/>
      <family val="2"/>
    </font>
    <font>
      <sz val="10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horizontal="justify"/>
    </xf>
    <xf numFmtId="0" fontId="44" fillId="0" borderId="0" xfId="0" applyFont="1" applyAlignment="1">
      <alignment/>
    </xf>
    <xf numFmtId="0" fontId="42" fillId="0" borderId="0" xfId="0" applyFont="1" applyAlignment="1">
      <alignment vertical="center" wrapText="1"/>
    </xf>
    <xf numFmtId="49" fontId="42" fillId="0" borderId="0" xfId="0" applyNumberFormat="1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justify" vertical="top" wrapText="1"/>
    </xf>
    <xf numFmtId="16" fontId="43" fillId="0" borderId="10" xfId="0" applyNumberFormat="1" applyFont="1" applyBorder="1" applyAlignment="1">
      <alignment horizontal="center" vertical="top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49" fontId="43" fillId="0" borderId="0" xfId="0" applyNumberFormat="1" applyFont="1" applyAlignment="1">
      <alignment horizontal="center" vertical="center" wrapText="1"/>
    </xf>
    <xf numFmtId="2" fontId="43" fillId="0" borderId="0" xfId="0" applyNumberFormat="1" applyFont="1" applyAlignment="1">
      <alignment horizontal="center" vertical="center" textRotation="180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center"/>
    </xf>
    <xf numFmtId="49" fontId="42" fillId="0" borderId="10" xfId="0" applyNumberFormat="1" applyFont="1" applyBorder="1" applyAlignment="1">
      <alignment/>
    </xf>
    <xf numFmtId="49" fontId="42" fillId="0" borderId="11" xfId="0" applyNumberFormat="1" applyFont="1" applyBorder="1" applyAlignment="1">
      <alignment horizontal="center"/>
    </xf>
    <xf numFmtId="49" fontId="42" fillId="0" borderId="12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3" xfId="0" applyNumberFormat="1" applyFont="1" applyBorder="1" applyAlignment="1">
      <alignment horizontal="center"/>
    </xf>
    <xf numFmtId="49" fontId="42" fillId="0" borderId="14" xfId="0" applyNumberFormat="1" applyFont="1" applyBorder="1" applyAlignment="1">
      <alignment horizontal="center"/>
    </xf>
    <xf numFmtId="0" fontId="42" fillId="0" borderId="15" xfId="0" applyFont="1" applyBorder="1" applyAlignment="1">
      <alignment horizontal="center" vertical="center"/>
    </xf>
    <xf numFmtId="49" fontId="42" fillId="0" borderId="0" xfId="0" applyNumberFormat="1" applyFont="1" applyAlignment="1">
      <alignment/>
    </xf>
    <xf numFmtId="0" fontId="42" fillId="0" borderId="0" xfId="0" applyFon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49" fontId="42" fillId="0" borderId="11" xfId="0" applyNumberFormat="1" applyFont="1" applyBorder="1" applyAlignment="1">
      <alignment/>
    </xf>
    <xf numFmtId="1" fontId="42" fillId="0" borderId="12" xfId="0" applyNumberFormat="1" applyFont="1" applyBorder="1" applyAlignment="1">
      <alignment horizontal="center"/>
    </xf>
    <xf numFmtId="1" fontId="42" fillId="0" borderId="16" xfId="0" applyNumberFormat="1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49" fontId="42" fillId="0" borderId="11" xfId="0" applyNumberFormat="1" applyFont="1" applyBorder="1" applyAlignment="1">
      <alignment horizontal="center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3" fillId="0" borderId="0" xfId="0" applyFont="1" applyAlignment="1">
      <alignment vertical="top" wrapText="1"/>
    </xf>
    <xf numFmtId="49" fontId="43" fillId="0" borderId="0" xfId="0" applyNumberFormat="1" applyFont="1" applyAlignment="1">
      <alignment horizontal="center" vertical="top" wrapText="1"/>
    </xf>
    <xf numFmtId="0" fontId="42" fillId="0" borderId="16" xfId="0" applyFont="1" applyBorder="1" applyAlignment="1">
      <alignment horizontal="center"/>
    </xf>
    <xf numFmtId="49" fontId="42" fillId="33" borderId="12" xfId="0" applyNumberFormat="1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/>
    </xf>
    <xf numFmtId="0" fontId="42" fillId="33" borderId="16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wrapText="1"/>
    </xf>
    <xf numFmtId="49" fontId="42" fillId="33" borderId="11" xfId="0" applyNumberFormat="1" applyFont="1" applyFill="1" applyBorder="1" applyAlignment="1">
      <alignment horizontal="center" wrapText="1"/>
    </xf>
    <xf numFmtId="49" fontId="42" fillId="33" borderId="12" xfId="0" applyNumberFormat="1" applyFont="1" applyFill="1" applyBorder="1" applyAlignment="1">
      <alignment horizontal="center" wrapText="1"/>
    </xf>
    <xf numFmtId="49" fontId="42" fillId="33" borderId="16" xfId="0" applyNumberFormat="1" applyFont="1" applyFill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49" fontId="42" fillId="33" borderId="17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0" fontId="42" fillId="0" borderId="13" xfId="0" applyFont="1" applyBorder="1" applyAlignment="1">
      <alignment horizontal="center"/>
    </xf>
    <xf numFmtId="49" fontId="42" fillId="33" borderId="10" xfId="0" applyNumberFormat="1" applyFont="1" applyFill="1" applyBorder="1" applyAlignment="1">
      <alignment horizontal="center"/>
    </xf>
    <xf numFmtId="49" fontId="42" fillId="33" borderId="16" xfId="0" applyNumberFormat="1" applyFont="1" applyFill="1" applyBorder="1" applyAlignment="1">
      <alignment horizontal="center"/>
    </xf>
    <xf numFmtId="2" fontId="3" fillId="0" borderId="10" xfId="0" applyNumberFormat="1" applyFont="1" applyBorder="1" applyAlignment="1">
      <alignment vertical="center" wrapText="1"/>
    </xf>
    <xf numFmtId="0" fontId="43" fillId="34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vertical="top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2" fontId="43" fillId="34" borderId="10" xfId="0" applyNumberFormat="1" applyFont="1" applyFill="1" applyBorder="1" applyAlignment="1">
      <alignment horizontal="center" vertical="center" textRotation="180" wrapText="1"/>
    </xf>
    <xf numFmtId="166" fontId="42" fillId="0" borderId="14" xfId="0" applyNumberFormat="1" applyFont="1" applyBorder="1" applyAlignment="1">
      <alignment horizontal="center"/>
    </xf>
    <xf numFmtId="166" fontId="42" fillId="0" borderId="15" xfId="0" applyNumberFormat="1" applyFont="1" applyBorder="1" applyAlignment="1">
      <alignment horizontal="center"/>
    </xf>
    <xf numFmtId="49" fontId="42" fillId="0" borderId="12" xfId="0" applyNumberFormat="1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43" fillId="0" borderId="0" xfId="0" applyFont="1" applyFill="1" applyAlignment="1">
      <alignment horizontal="left"/>
    </xf>
    <xf numFmtId="0" fontId="43" fillId="0" borderId="10" xfId="0" applyFont="1" applyFill="1" applyBorder="1" applyAlignment="1">
      <alignment horizontal="center" vertical="top" wrapText="1"/>
    </xf>
    <xf numFmtId="0" fontId="43" fillId="0" borderId="19" xfId="0" applyFont="1" applyFill="1" applyBorder="1" applyAlignment="1">
      <alignment horizontal="center" vertical="top" wrapText="1"/>
    </xf>
    <xf numFmtId="16" fontId="43" fillId="0" borderId="10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right" vertical="top" wrapText="1"/>
    </xf>
    <xf numFmtId="0" fontId="43" fillId="0" borderId="10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top" wrapText="1"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justify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center" vertical="center" wrapText="1"/>
    </xf>
    <xf numFmtId="0" fontId="42" fillId="0" borderId="12" xfId="0" applyNumberFormat="1" applyFont="1" applyBorder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34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5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2" fillId="0" borderId="0" xfId="0" applyFont="1" applyAlignment="1">
      <alignment horizontal="right"/>
    </xf>
    <xf numFmtId="0" fontId="43" fillId="33" borderId="12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20" xfId="0" applyFont="1" applyFill="1" applyBorder="1" applyAlignment="1">
      <alignment horizontal="center" vertical="top" wrapText="1"/>
    </xf>
    <xf numFmtId="0" fontId="43" fillId="33" borderId="21" xfId="0" applyFont="1" applyFill="1" applyBorder="1" applyAlignment="1">
      <alignment horizontal="center" vertical="top" wrapText="1"/>
    </xf>
    <xf numFmtId="0" fontId="43" fillId="33" borderId="19" xfId="0" applyFont="1" applyFill="1" applyBorder="1" applyAlignment="1">
      <alignment horizontal="center" vertical="top" wrapText="1"/>
    </xf>
    <xf numFmtId="0" fontId="43" fillId="33" borderId="22" xfId="0" applyFont="1" applyFill="1" applyBorder="1" applyAlignment="1">
      <alignment horizontal="center" vertical="top" wrapText="1"/>
    </xf>
    <xf numFmtId="0" fontId="43" fillId="33" borderId="23" xfId="0" applyFont="1" applyFill="1" applyBorder="1" applyAlignment="1">
      <alignment horizontal="center" vertical="top" wrapText="1"/>
    </xf>
    <xf numFmtId="0" fontId="43" fillId="0" borderId="18" xfId="0" applyFont="1" applyBorder="1" applyAlignment="1">
      <alignment horizontal="center" wrapText="1"/>
    </xf>
    <xf numFmtId="0" fontId="43" fillId="0" borderId="16" xfId="0" applyFont="1" applyBorder="1" applyAlignment="1">
      <alignment horizontal="center" wrapText="1"/>
    </xf>
    <xf numFmtId="0" fontId="43" fillId="0" borderId="15" xfId="0" applyFont="1" applyBorder="1" applyAlignment="1">
      <alignment horizontal="center" wrapText="1"/>
    </xf>
    <xf numFmtId="0" fontId="43" fillId="33" borderId="13" xfId="0" applyFont="1" applyFill="1" applyBorder="1" applyAlignment="1">
      <alignment horizontal="center" vertical="top" wrapText="1"/>
    </xf>
    <xf numFmtId="0" fontId="43" fillId="33" borderId="15" xfId="0" applyFont="1" applyFill="1" applyBorder="1" applyAlignment="1">
      <alignment horizontal="center" vertical="top" wrapText="1"/>
    </xf>
    <xf numFmtId="4" fontId="3" fillId="0" borderId="24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wrapText="1"/>
    </xf>
    <xf numFmtId="0" fontId="42" fillId="33" borderId="17" xfId="0" applyFont="1" applyFill="1" applyBorder="1" applyAlignment="1">
      <alignment horizontal="center" vertical="center"/>
    </xf>
    <xf numFmtId="0" fontId="42" fillId="33" borderId="28" xfId="0" applyFont="1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 vertical="center"/>
    </xf>
    <xf numFmtId="49" fontId="42" fillId="33" borderId="10" xfId="0" applyNumberFormat="1" applyFont="1" applyFill="1" applyBorder="1" applyAlignment="1">
      <alignment horizontal="center" vertical="center" wrapText="1"/>
    </xf>
    <xf numFmtId="49" fontId="42" fillId="33" borderId="11" xfId="0" applyNumberFormat="1" applyFont="1" applyFill="1" applyBorder="1" applyAlignment="1">
      <alignment horizontal="center" vertical="center" wrapText="1"/>
    </xf>
    <xf numFmtId="0" fontId="42" fillId="33" borderId="29" xfId="0" applyFont="1" applyFill="1" applyBorder="1" applyAlignment="1">
      <alignment horizontal="center" vertical="center" wrapText="1"/>
    </xf>
    <xf numFmtId="0" fontId="42" fillId="33" borderId="30" xfId="0" applyFont="1" applyFill="1" applyBorder="1" applyAlignment="1">
      <alignment horizontal="center" vertical="center" wrapText="1"/>
    </xf>
    <xf numFmtId="49" fontId="42" fillId="33" borderId="31" xfId="0" applyNumberFormat="1" applyFont="1" applyFill="1" applyBorder="1" applyAlignment="1">
      <alignment horizontal="center" vertical="center" wrapText="1"/>
    </xf>
    <xf numFmtId="49" fontId="42" fillId="33" borderId="32" xfId="0" applyNumberFormat="1" applyFont="1" applyFill="1" applyBorder="1" applyAlignment="1">
      <alignment horizontal="center" vertical="center" wrapText="1"/>
    </xf>
    <xf numFmtId="49" fontId="42" fillId="0" borderId="17" xfId="0" applyNumberFormat="1" applyFont="1" applyBorder="1" applyAlignment="1">
      <alignment horizontal="center" vertical="center" wrapText="1"/>
    </xf>
    <xf numFmtId="49" fontId="42" fillId="0" borderId="28" xfId="0" applyNumberFormat="1" applyFont="1" applyBorder="1" applyAlignment="1">
      <alignment horizontal="center" vertical="center" wrapText="1"/>
    </xf>
    <xf numFmtId="49" fontId="42" fillId="0" borderId="18" xfId="0" applyNumberFormat="1" applyFont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/>
    </xf>
    <xf numFmtId="49" fontId="42" fillId="0" borderId="10" xfId="0" applyNumberFormat="1" applyFont="1" applyBorder="1" applyAlignment="1">
      <alignment horizontal="center"/>
    </xf>
    <xf numFmtId="49" fontId="42" fillId="0" borderId="16" xfId="0" applyNumberFormat="1" applyFont="1" applyBorder="1" applyAlignment="1">
      <alignment horizontal="center"/>
    </xf>
    <xf numFmtId="49" fontId="42" fillId="0" borderId="11" xfId="0" applyNumberFormat="1" applyFont="1" applyBorder="1" applyAlignment="1">
      <alignment horizontal="center" vertical="center" wrapText="1"/>
    </xf>
    <xf numFmtId="0" fontId="42" fillId="33" borderId="17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2" fillId="33" borderId="28" xfId="0" applyNumberFormat="1" applyFont="1" applyFill="1" applyBorder="1" applyAlignment="1">
      <alignment horizontal="center" vertical="center" wrapText="1"/>
    </xf>
    <xf numFmtId="49" fontId="42" fillId="33" borderId="18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0" fontId="43" fillId="0" borderId="0" xfId="0" applyFont="1" applyFill="1" applyAlignment="1">
      <alignment horizontal="justify" wrapText="1"/>
    </xf>
    <xf numFmtId="0" fontId="42" fillId="0" borderId="0" xfId="0" applyFont="1" applyFill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left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top" wrapText="1"/>
    </xf>
    <xf numFmtId="0" fontId="43" fillId="0" borderId="0" xfId="0" applyFont="1" applyFill="1" applyAlignment="1">
      <alignment wrapText="1"/>
    </xf>
    <xf numFmtId="0" fontId="43" fillId="0" borderId="0" xfId="0" applyFont="1" applyFill="1" applyAlignment="1">
      <alignment horizontal="left" wrapText="1"/>
    </xf>
    <xf numFmtId="0" fontId="44" fillId="0" borderId="0" xfId="0" applyFont="1" applyFill="1" applyAlignment="1">
      <alignment horizontal="left" wrapText="1"/>
    </xf>
    <xf numFmtId="3" fontId="43" fillId="0" borderId="12" xfId="0" applyNumberFormat="1" applyFont="1" applyBorder="1" applyAlignment="1">
      <alignment horizontal="center" vertical="center" wrapText="1"/>
    </xf>
    <xf numFmtId="3" fontId="43" fillId="0" borderId="11" xfId="0" applyNumberFormat="1" applyFont="1" applyBorder="1" applyAlignment="1">
      <alignment horizontal="center" vertical="center" wrapText="1"/>
    </xf>
    <xf numFmtId="4" fontId="43" fillId="0" borderId="12" xfId="0" applyNumberFormat="1" applyFont="1" applyBorder="1" applyAlignment="1">
      <alignment horizontal="center" vertical="center" wrapText="1"/>
    </xf>
    <xf numFmtId="4" fontId="43" fillId="0" borderId="32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3" fillId="0" borderId="20" xfId="0" applyFont="1" applyBorder="1" applyAlignment="1">
      <alignment horizontal="center" vertical="center" wrapText="1"/>
    </xf>
    <xf numFmtId="0" fontId="43" fillId="0" borderId="25" xfId="0" applyFont="1" applyBorder="1" applyAlignment="1">
      <alignment horizontal="center" vertical="center" wrapText="1"/>
    </xf>
    <xf numFmtId="0" fontId="47" fillId="0" borderId="27" xfId="0" applyFont="1" applyBorder="1" applyAlignment="1">
      <alignment/>
    </xf>
    <xf numFmtId="4" fontId="43" fillId="0" borderId="13" xfId="0" applyNumberFormat="1" applyFont="1" applyBorder="1" applyAlignment="1">
      <alignment horizontal="center" vertical="center" wrapText="1"/>
    </xf>
    <xf numFmtId="3" fontId="43" fillId="0" borderId="16" xfId="0" applyNumberFormat="1" applyFont="1" applyBorder="1" applyAlignment="1">
      <alignment horizontal="center" vertical="center" wrapText="1"/>
    </xf>
    <xf numFmtId="4" fontId="43" fillId="0" borderId="34" xfId="0" applyNumberFormat="1" applyFont="1" applyBorder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7" fillId="0" borderId="11" xfId="0" applyFont="1" applyBorder="1" applyAlignment="1">
      <alignment/>
    </xf>
    <xf numFmtId="4" fontId="43" fillId="0" borderId="16" xfId="0" applyNumberFormat="1" applyFont="1" applyBorder="1" applyAlignment="1">
      <alignment horizontal="center" vertical="center" wrapText="1"/>
    </xf>
    <xf numFmtId="3" fontId="43" fillId="0" borderId="17" xfId="0" applyNumberFormat="1" applyFont="1" applyBorder="1" applyAlignment="1">
      <alignment horizontal="center" vertical="center" wrapText="1"/>
    </xf>
    <xf numFmtId="3" fontId="43" fillId="0" borderId="26" xfId="0" applyNumberFormat="1" applyFont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43" fillId="33" borderId="10" xfId="0" applyFont="1" applyFill="1" applyBorder="1" applyAlignment="1">
      <alignment horizontal="center" vertical="top" wrapText="1"/>
    </xf>
    <xf numFmtId="0" fontId="43" fillId="33" borderId="16" xfId="0" applyFont="1" applyFill="1" applyBorder="1" applyAlignment="1">
      <alignment horizontal="center" vertical="top" wrapText="1"/>
    </xf>
    <xf numFmtId="0" fontId="43" fillId="33" borderId="37" xfId="0" applyFont="1" applyFill="1" applyBorder="1" applyAlignment="1">
      <alignment horizontal="center" vertical="top" wrapText="1"/>
    </xf>
    <xf numFmtId="0" fontId="43" fillId="33" borderId="38" xfId="0" applyFont="1" applyFill="1" applyBorder="1" applyAlignment="1">
      <alignment horizontal="center" vertical="top" wrapText="1"/>
    </xf>
    <xf numFmtId="0" fontId="43" fillId="33" borderId="39" xfId="0" applyFont="1" applyFill="1" applyBorder="1" applyAlignment="1">
      <alignment horizontal="center" vertical="top" wrapText="1"/>
    </xf>
    <xf numFmtId="0" fontId="43" fillId="33" borderId="40" xfId="0" applyFont="1" applyFill="1" applyBorder="1" applyAlignment="1">
      <alignment horizontal="center" vertical="top" wrapText="1"/>
    </xf>
    <xf numFmtId="0" fontId="43" fillId="33" borderId="41" xfId="0" applyFont="1" applyFill="1" applyBorder="1" applyAlignment="1">
      <alignment horizontal="center" vertical="top" wrapText="1"/>
    </xf>
    <xf numFmtId="0" fontId="43" fillId="33" borderId="42" xfId="0" applyFont="1" applyFill="1" applyBorder="1" applyAlignment="1">
      <alignment horizontal="center" vertical="top" wrapText="1"/>
    </xf>
    <xf numFmtId="0" fontId="43" fillId="0" borderId="43" xfId="0" applyFont="1" applyBorder="1" applyAlignment="1">
      <alignment horizontal="center" vertical="center" wrapText="1"/>
    </xf>
    <xf numFmtId="0" fontId="43" fillId="0" borderId="24" xfId="0" applyFont="1" applyBorder="1" applyAlignment="1">
      <alignment horizontal="center" vertical="center" wrapText="1"/>
    </xf>
    <xf numFmtId="4" fontId="43" fillId="0" borderId="17" xfId="0" applyNumberFormat="1" applyFont="1" applyBorder="1" applyAlignment="1">
      <alignment horizontal="center" vertical="center" wrapText="1"/>
    </xf>
    <xf numFmtId="4" fontId="43" fillId="0" borderId="18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horizontal="left" wrapText="1"/>
    </xf>
    <xf numFmtId="0" fontId="43" fillId="33" borderId="17" xfId="0" applyFont="1" applyFill="1" applyBorder="1" applyAlignment="1">
      <alignment horizontal="center" vertical="top" wrapText="1"/>
    </xf>
    <xf numFmtId="0" fontId="43" fillId="33" borderId="28" xfId="0" applyFont="1" applyFill="1" applyBorder="1" applyAlignment="1">
      <alignment horizontal="center" vertical="top" wrapText="1"/>
    </xf>
    <xf numFmtId="0" fontId="43" fillId="33" borderId="18" xfId="0" applyFont="1" applyFill="1" applyBorder="1" applyAlignment="1">
      <alignment horizontal="center" vertical="top" wrapText="1"/>
    </xf>
    <xf numFmtId="0" fontId="43" fillId="33" borderId="24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left" vertical="center" wrapText="1"/>
    </xf>
    <xf numFmtId="0" fontId="42" fillId="0" borderId="0" xfId="0" applyFont="1" applyAlignment="1">
      <alignment wrapText="1"/>
    </xf>
    <xf numFmtId="0" fontId="43" fillId="34" borderId="10" xfId="0" applyFont="1" applyFill="1" applyBorder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3" fillId="33" borderId="44" xfId="0" applyFont="1" applyFill="1" applyBorder="1" applyAlignment="1">
      <alignment horizontal="center" vertical="top" wrapText="1"/>
    </xf>
    <xf numFmtId="0" fontId="43" fillId="33" borderId="45" xfId="0" applyFont="1" applyFill="1" applyBorder="1" applyAlignment="1">
      <alignment horizontal="center" vertical="top" wrapText="1"/>
    </xf>
    <xf numFmtId="0" fontId="43" fillId="0" borderId="0" xfId="0" applyFont="1" applyAlignment="1">
      <alignment horizontal="center" wrapText="1"/>
    </xf>
    <xf numFmtId="49" fontId="43" fillId="0" borderId="0" xfId="0" applyNumberFormat="1" applyFont="1" applyAlignment="1">
      <alignment horizontal="left" vertical="center" wrapText="1"/>
    </xf>
    <xf numFmtId="0" fontId="43" fillId="34" borderId="10" xfId="0" applyFont="1" applyFill="1" applyBorder="1" applyAlignment="1">
      <alignment horizontal="center" vertical="center" wrapText="1"/>
    </xf>
    <xf numFmtId="49" fontId="43" fillId="34" borderId="10" xfId="0" applyNumberFormat="1" applyFont="1" applyFill="1" applyBorder="1" applyAlignment="1">
      <alignment horizontal="center" vertical="center" wrapText="1"/>
    </xf>
    <xf numFmtId="16" fontId="43" fillId="0" borderId="0" xfId="0" applyNumberFormat="1" applyFont="1" applyAlignment="1">
      <alignment horizontal="left" vertical="top" wrapText="1"/>
    </xf>
    <xf numFmtId="0" fontId="43" fillId="0" borderId="0" xfId="0" applyFont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16" fontId="45" fillId="0" borderId="0" xfId="0" applyNumberFormat="1" applyFont="1" applyAlignment="1">
      <alignment horizontal="left" vertical="top" wrapText="1"/>
    </xf>
    <xf numFmtId="0" fontId="48" fillId="34" borderId="10" xfId="0" applyFont="1" applyFill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19050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33525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1343025</xdr:colOff>
      <xdr:row>12</xdr:row>
      <xdr:rowOff>142875</xdr:rowOff>
    </xdr:from>
    <xdr:to>
      <xdr:col>1</xdr:col>
      <xdr:colOff>1724025</xdr:colOff>
      <xdr:row>13</xdr:row>
      <xdr:rowOff>47625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90700" y="2733675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18</xdr:row>
      <xdr:rowOff>609600</xdr:rowOff>
    </xdr:from>
    <xdr:to>
      <xdr:col>1</xdr:col>
      <xdr:colOff>2362200</xdr:colOff>
      <xdr:row>19</xdr:row>
      <xdr:rowOff>47625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38150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0488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5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10077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1631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7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101917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6</xdr:row>
      <xdr:rowOff>123825</xdr:rowOff>
    </xdr:from>
    <xdr:to>
      <xdr:col>1</xdr:col>
      <xdr:colOff>1819275</xdr:colOff>
      <xdr:row>7</xdr:row>
      <xdr:rowOff>19050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1533525"/>
          <a:ext cx="4095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600075</xdr:colOff>
      <xdr:row>12</xdr:row>
      <xdr:rowOff>133350</xdr:rowOff>
    </xdr:from>
    <xdr:to>
      <xdr:col>1</xdr:col>
      <xdr:colOff>981075</xdr:colOff>
      <xdr:row>13</xdr:row>
      <xdr:rowOff>38100</xdr:rowOff>
    </xdr:to>
    <xdr:pic>
      <xdr:nvPicPr>
        <xdr:cNvPr id="9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0" y="27241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1562100</xdr:colOff>
      <xdr:row>18</xdr:row>
      <xdr:rowOff>609600</xdr:rowOff>
    </xdr:from>
    <xdr:to>
      <xdr:col>1</xdr:col>
      <xdr:colOff>2362200</xdr:colOff>
      <xdr:row>19</xdr:row>
      <xdr:rowOff>47625</xdr:rowOff>
    </xdr:to>
    <xdr:pic>
      <xdr:nvPicPr>
        <xdr:cNvPr id="10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9775" y="438150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24</xdr:row>
      <xdr:rowOff>628650</xdr:rowOff>
    </xdr:from>
    <xdr:to>
      <xdr:col>1</xdr:col>
      <xdr:colOff>1476375</xdr:colOff>
      <xdr:row>25</xdr:row>
      <xdr:rowOff>47625</xdr:rowOff>
    </xdr:to>
    <xdr:pic>
      <xdr:nvPicPr>
        <xdr:cNvPr id="1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23975" y="606742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04887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96150" y="1007745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14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16317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1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2182475" y="1019175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1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5"/>
  <cols>
    <col min="1" max="1" width="19.00390625" style="26" customWidth="1"/>
    <col min="2" max="2" width="15.421875" style="26" customWidth="1"/>
    <col min="3" max="3" width="12.140625" style="26" customWidth="1"/>
    <col min="4" max="4" width="13.8515625" style="26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">
      <c r="A1" s="119" t="s">
        <v>211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3" spans="1:24" s="17" customFormat="1" ht="45.75" customHeight="1" thickBot="1">
      <c r="A3" s="118" t="s">
        <v>191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4"/>
      <c r="P3" s="4"/>
      <c r="Q3" s="4"/>
      <c r="R3" s="4"/>
      <c r="S3" s="4"/>
      <c r="T3" s="4"/>
      <c r="U3" s="4"/>
      <c r="V3" s="4"/>
      <c r="W3" s="4"/>
      <c r="X3" s="4"/>
    </row>
    <row r="4" spans="1:6" ht="13.5">
      <c r="A4" s="123" t="s">
        <v>193</v>
      </c>
      <c r="B4" s="124" t="s">
        <v>48</v>
      </c>
      <c r="C4" s="120" t="s">
        <v>259</v>
      </c>
      <c r="D4" s="121"/>
      <c r="E4" s="121"/>
      <c r="F4" s="122"/>
    </row>
    <row r="5" spans="1:6" s="18" customFormat="1" ht="13.5">
      <c r="A5" s="123"/>
      <c r="B5" s="124"/>
      <c r="C5" s="45" t="s">
        <v>19</v>
      </c>
      <c r="D5" s="46" t="s">
        <v>20</v>
      </c>
      <c r="E5" s="47" t="s">
        <v>21</v>
      </c>
      <c r="F5" s="48" t="s">
        <v>22</v>
      </c>
    </row>
    <row r="6" spans="1:6" s="18" customFormat="1" ht="13.5">
      <c r="A6" s="49" t="s">
        <v>142</v>
      </c>
      <c r="B6" s="50" t="s">
        <v>126</v>
      </c>
      <c r="C6" s="51" t="s">
        <v>136</v>
      </c>
      <c r="D6" s="49" t="s">
        <v>143</v>
      </c>
      <c r="E6" s="49" t="s">
        <v>194</v>
      </c>
      <c r="F6" s="52" t="s">
        <v>195</v>
      </c>
    </row>
    <row r="7" spans="1:6" ht="13.5">
      <c r="A7" s="19" t="s">
        <v>192</v>
      </c>
      <c r="B7" s="20" t="s">
        <v>228</v>
      </c>
      <c r="C7" s="82" t="s">
        <v>105</v>
      </c>
      <c r="D7" s="22" t="s">
        <v>264</v>
      </c>
      <c r="E7" s="86">
        <v>77</v>
      </c>
      <c r="F7" s="87">
        <v>68</v>
      </c>
    </row>
    <row r="8" spans="1:6" ht="14.25" thickBot="1">
      <c r="A8" s="19" t="s">
        <v>221</v>
      </c>
      <c r="B8" s="20" t="s">
        <v>228</v>
      </c>
      <c r="C8" s="23" t="s">
        <v>141</v>
      </c>
      <c r="D8" s="24" t="s">
        <v>126</v>
      </c>
      <c r="E8" s="53">
        <v>20</v>
      </c>
      <c r="F8" s="25">
        <v>72</v>
      </c>
    </row>
    <row r="10" spans="1:14" s="27" customFormat="1" ht="60" customHeight="1" thickBot="1">
      <c r="A10" s="118" t="s">
        <v>263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</row>
    <row r="11" spans="1:10" s="29" customFormat="1" ht="54.75">
      <c r="A11" s="125" t="s">
        <v>193</v>
      </c>
      <c r="B11" s="54" t="s">
        <v>196</v>
      </c>
      <c r="C11" s="55" t="s">
        <v>197</v>
      </c>
      <c r="D11" s="28"/>
      <c r="E11" s="28"/>
      <c r="F11" s="28"/>
      <c r="G11" s="28"/>
      <c r="H11" s="28"/>
      <c r="I11" s="28"/>
      <c r="J11" s="28"/>
    </row>
    <row r="12" spans="1:10" s="29" customFormat="1" ht="15" customHeight="1">
      <c r="A12" s="126"/>
      <c r="B12" s="127" t="s">
        <v>259</v>
      </c>
      <c r="C12" s="128"/>
      <c r="D12" s="28"/>
      <c r="E12" s="28"/>
      <c r="F12" s="28"/>
      <c r="G12" s="28"/>
      <c r="H12" s="28"/>
      <c r="I12" s="28"/>
      <c r="J12" s="28"/>
    </row>
    <row r="13" spans="1:10" s="29" customFormat="1" ht="13.5">
      <c r="A13" s="50" t="s">
        <v>142</v>
      </c>
      <c r="B13" s="51" t="s">
        <v>126</v>
      </c>
      <c r="C13" s="52" t="s">
        <v>136</v>
      </c>
      <c r="D13" s="28"/>
      <c r="E13" s="28"/>
      <c r="F13" s="28"/>
      <c r="G13" s="28"/>
      <c r="H13" s="28"/>
      <c r="I13" s="28"/>
      <c r="J13" s="28"/>
    </row>
    <row r="14" spans="1:4" ht="13.5">
      <c r="A14" s="30" t="s">
        <v>192</v>
      </c>
      <c r="B14" s="88">
        <v>199</v>
      </c>
      <c r="C14" s="89">
        <v>199</v>
      </c>
      <c r="D14" s="1"/>
    </row>
    <row r="15" spans="1:4" ht="13.5">
      <c r="A15" s="19" t="s">
        <v>235</v>
      </c>
      <c r="B15" s="31"/>
      <c r="C15" s="32"/>
      <c r="D15" s="1"/>
    </row>
    <row r="16" spans="1:4" ht="13.5">
      <c r="A16" s="30" t="s">
        <v>231</v>
      </c>
      <c r="B16" s="31">
        <v>3</v>
      </c>
      <c r="C16" s="32">
        <v>3</v>
      </c>
      <c r="D16" s="1"/>
    </row>
    <row r="17" spans="1:4" ht="13.5">
      <c r="A17" s="30" t="s">
        <v>229</v>
      </c>
      <c r="B17" s="31">
        <v>63</v>
      </c>
      <c r="C17" s="32">
        <v>61</v>
      </c>
      <c r="D17" s="1"/>
    </row>
    <row r="18" spans="1:4" ht="13.5">
      <c r="A18" s="30" t="s">
        <v>230</v>
      </c>
      <c r="B18" s="31">
        <v>28</v>
      </c>
      <c r="C18" s="32">
        <v>28</v>
      </c>
      <c r="D18" s="1"/>
    </row>
    <row r="20" spans="1:14" ht="39.75" customHeight="1" thickBot="1">
      <c r="A20" s="118" t="s">
        <v>198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</row>
    <row r="21" spans="1:5" s="28" customFormat="1" ht="15" customHeight="1">
      <c r="A21" s="136" t="s">
        <v>199</v>
      </c>
      <c r="B21" s="138" t="s">
        <v>200</v>
      </c>
      <c r="C21" s="138"/>
      <c r="D21" s="138" t="s">
        <v>201</v>
      </c>
      <c r="E21" s="139"/>
    </row>
    <row r="22" spans="1:5" ht="13.5">
      <c r="A22" s="137"/>
      <c r="B22" s="57" t="s">
        <v>203</v>
      </c>
      <c r="C22" s="57" t="s">
        <v>202</v>
      </c>
      <c r="D22" s="57" t="s">
        <v>203</v>
      </c>
      <c r="E22" s="58" t="s">
        <v>202</v>
      </c>
    </row>
    <row r="23" spans="1:5" ht="13.5">
      <c r="A23" s="132" t="s">
        <v>259</v>
      </c>
      <c r="B23" s="133"/>
      <c r="C23" s="133"/>
      <c r="D23" s="133"/>
      <c r="E23" s="134"/>
    </row>
    <row r="24" spans="1:5" s="18" customFormat="1" ht="14.25" thickBot="1">
      <c r="A24" s="56">
        <v>42</v>
      </c>
      <c r="B24" s="65">
        <v>0.778</v>
      </c>
      <c r="C24" s="65">
        <v>4.54</v>
      </c>
      <c r="D24" s="65">
        <v>48.237</v>
      </c>
      <c r="E24" s="66">
        <v>6.73</v>
      </c>
    </row>
    <row r="26" spans="1:14" ht="35.25" customHeight="1" thickBot="1">
      <c r="A26" s="118" t="s">
        <v>204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</row>
    <row r="27" spans="1:5" s="29" customFormat="1" ht="15" customHeight="1">
      <c r="A27" s="135" t="s">
        <v>206</v>
      </c>
      <c r="B27" s="129" t="s">
        <v>205</v>
      </c>
      <c r="C27" s="130"/>
      <c r="D27" s="130"/>
      <c r="E27" s="131"/>
    </row>
    <row r="28" spans="1:5" s="18" customFormat="1" ht="13.5">
      <c r="A28" s="135"/>
      <c r="B28" s="21" t="s">
        <v>19</v>
      </c>
      <c r="C28" s="22" t="s">
        <v>20</v>
      </c>
      <c r="D28" s="22" t="s">
        <v>21</v>
      </c>
      <c r="E28" s="44" t="s">
        <v>22</v>
      </c>
    </row>
    <row r="29" spans="1:5" ht="13.5">
      <c r="A29" s="135"/>
      <c r="B29" s="132" t="s">
        <v>259</v>
      </c>
      <c r="C29" s="133"/>
      <c r="D29" s="133"/>
      <c r="E29" s="134"/>
    </row>
    <row r="30" spans="1:5" ht="13.5">
      <c r="A30" s="34" t="s">
        <v>217</v>
      </c>
      <c r="B30" s="67" t="s">
        <v>105</v>
      </c>
      <c r="C30" s="67" t="s">
        <v>105</v>
      </c>
      <c r="D30" s="67" t="s">
        <v>105</v>
      </c>
      <c r="E30" s="67" t="s">
        <v>105</v>
      </c>
    </row>
    <row r="31" spans="1:5" ht="13.5">
      <c r="A31" s="20" t="s">
        <v>218</v>
      </c>
      <c r="B31" s="67" t="s">
        <v>105</v>
      </c>
      <c r="C31" s="67" t="s">
        <v>105</v>
      </c>
      <c r="D31" s="67" t="s">
        <v>105</v>
      </c>
      <c r="E31" s="67" t="s">
        <v>105</v>
      </c>
    </row>
  </sheetData>
  <sheetProtection/>
  <mergeCells count="17">
    <mergeCell ref="A26:N26"/>
    <mergeCell ref="B27:E27"/>
    <mergeCell ref="B29:E29"/>
    <mergeCell ref="A27:A29"/>
    <mergeCell ref="A21:A22"/>
    <mergeCell ref="A23:E23"/>
    <mergeCell ref="B21:C21"/>
    <mergeCell ref="D21:E21"/>
    <mergeCell ref="A20:N20"/>
    <mergeCell ref="A1:R1"/>
    <mergeCell ref="C4:F4"/>
    <mergeCell ref="A4:A5"/>
    <mergeCell ref="B4:B5"/>
    <mergeCell ref="A3:N3"/>
    <mergeCell ref="A10:N10"/>
    <mergeCell ref="A11:A12"/>
    <mergeCell ref="B12:C12"/>
  </mergeCells>
  <printOptions/>
  <pageMargins left="0.7" right="0.7" top="0.75" bottom="0.75" header="0.3" footer="0.3"/>
  <pageSetup horizontalDpi="600" verticalDpi="600" orientation="landscape" paperSize="9" scale="69" r:id="rId1"/>
  <colBreaks count="1" manualBreakCount="1">
    <brk id="14" max="65535" man="1"/>
  </colBreaks>
  <ignoredErrors>
    <ignoredError sqref="A6:B6 A13 C6:F6 B13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zoomScaleSheetLayoutView="115" zoomScalePageLayoutView="0" workbookViewId="0" topLeftCell="A16">
      <selection activeCell="G31" sqref="G31"/>
    </sheetView>
  </sheetViews>
  <sheetFormatPr defaultColWidth="9.140625" defaultRowHeight="15"/>
  <cols>
    <col min="1" max="1" width="6.7109375" style="68" customWidth="1"/>
    <col min="2" max="2" width="53.8515625" style="68" customWidth="1"/>
    <col min="3" max="3" width="12.28125" style="68" customWidth="1"/>
    <col min="4" max="4" width="13.28125" style="68" customWidth="1"/>
    <col min="5" max="5" width="14.140625" style="68" customWidth="1"/>
    <col min="6" max="18" width="9.140625" style="68" customWidth="1"/>
    <col min="19" max="19" width="32.7109375" style="68" customWidth="1"/>
    <col min="20" max="20" width="34.421875" style="68" customWidth="1"/>
    <col min="21" max="16384" width="9.140625" style="68" customWidth="1"/>
  </cols>
  <sheetData>
    <row r="1" spans="1:13" ht="15.75" customHeight="1">
      <c r="A1" s="151" t="s">
        <v>222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</row>
    <row r="2" spans="1:13" s="69" customFormat="1" ht="12.75" customHeight="1">
      <c r="A2" s="150" t="s">
        <v>108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4" spans="1:5" ht="15" customHeight="1">
      <c r="A4" s="140" t="s">
        <v>2</v>
      </c>
      <c r="B4" s="140" t="s">
        <v>0</v>
      </c>
      <c r="C4" s="140" t="s">
        <v>1</v>
      </c>
      <c r="D4" s="140"/>
      <c r="E4" s="140"/>
    </row>
    <row r="5" spans="1:5" ht="39">
      <c r="A5" s="140"/>
      <c r="B5" s="140"/>
      <c r="C5" s="70" t="s">
        <v>3</v>
      </c>
      <c r="D5" s="70" t="s">
        <v>4</v>
      </c>
      <c r="E5" s="70" t="s">
        <v>36</v>
      </c>
    </row>
    <row r="6" spans="1:5" ht="13.5">
      <c r="A6" s="70">
        <v>1</v>
      </c>
      <c r="B6" s="70">
        <v>2</v>
      </c>
      <c r="C6" s="71">
        <v>3</v>
      </c>
      <c r="D6" s="71">
        <v>4</v>
      </c>
      <c r="E6" s="71">
        <v>5</v>
      </c>
    </row>
    <row r="7" spans="1:5" ht="25.5" customHeight="1">
      <c r="A7" s="140">
        <v>1</v>
      </c>
      <c r="B7" s="148" t="s">
        <v>208</v>
      </c>
      <c r="C7" s="143">
        <v>0.93953</v>
      </c>
      <c r="D7" s="143">
        <v>6.53545</v>
      </c>
      <c r="E7" s="147">
        <f>(D7-C7)/C7*100</f>
        <v>595.6084425191318</v>
      </c>
    </row>
    <row r="8" spans="1:5" ht="13.5">
      <c r="A8" s="140"/>
      <c r="B8" s="148"/>
      <c r="C8" s="143"/>
      <c r="D8" s="143"/>
      <c r="E8" s="147"/>
    </row>
    <row r="9" spans="1:5" ht="13.5">
      <c r="A9" s="72" t="s">
        <v>86</v>
      </c>
      <c r="B9" s="73" t="s">
        <v>6</v>
      </c>
      <c r="C9" s="83" t="s">
        <v>105</v>
      </c>
      <c r="D9" s="74" t="s">
        <v>105</v>
      </c>
      <c r="E9" s="74" t="s">
        <v>105</v>
      </c>
    </row>
    <row r="10" spans="1:5" ht="13.5">
      <c r="A10" s="72" t="s">
        <v>87</v>
      </c>
      <c r="B10" s="73" t="s">
        <v>7</v>
      </c>
      <c r="C10" s="83" t="s">
        <v>105</v>
      </c>
      <c r="D10" s="81" t="s">
        <v>105</v>
      </c>
      <c r="E10" s="74" t="s">
        <v>105</v>
      </c>
    </row>
    <row r="11" spans="1:5" ht="13.5">
      <c r="A11" s="72" t="s">
        <v>88</v>
      </c>
      <c r="B11" s="73" t="s">
        <v>8</v>
      </c>
      <c r="C11" s="91">
        <v>0.93953</v>
      </c>
      <c r="D11" s="91">
        <v>6.53545</v>
      </c>
      <c r="E11" s="75">
        <f>E7</f>
        <v>595.6084425191318</v>
      </c>
    </row>
    <row r="12" spans="1:5" ht="13.5">
      <c r="A12" s="72" t="s">
        <v>89</v>
      </c>
      <c r="B12" s="73" t="s">
        <v>9</v>
      </c>
      <c r="C12" s="91">
        <v>0.93953</v>
      </c>
      <c r="D12" s="91">
        <v>6.53545</v>
      </c>
      <c r="E12" s="75">
        <f>E7</f>
        <v>595.6084425191318</v>
      </c>
    </row>
    <row r="13" spans="1:5" ht="25.5" customHeight="1">
      <c r="A13" s="140">
        <v>2</v>
      </c>
      <c r="B13" s="148" t="s">
        <v>207</v>
      </c>
      <c r="C13" s="143">
        <v>0.43262</v>
      </c>
      <c r="D13" s="143">
        <v>1.0625</v>
      </c>
      <c r="E13" s="147">
        <f>(D13-C13)/C13*100</f>
        <v>145.59659747584485</v>
      </c>
    </row>
    <row r="14" spans="1:5" ht="13.5">
      <c r="A14" s="140"/>
      <c r="B14" s="148"/>
      <c r="C14" s="143"/>
      <c r="D14" s="143"/>
      <c r="E14" s="147"/>
    </row>
    <row r="15" spans="1:5" ht="13.5">
      <c r="A15" s="72" t="s">
        <v>90</v>
      </c>
      <c r="B15" s="73" t="s">
        <v>6</v>
      </c>
      <c r="C15" s="83" t="s">
        <v>105</v>
      </c>
      <c r="D15" s="74" t="s">
        <v>105</v>
      </c>
      <c r="E15" s="74" t="s">
        <v>105</v>
      </c>
    </row>
    <row r="16" spans="1:5" ht="13.5">
      <c r="A16" s="72" t="s">
        <v>91</v>
      </c>
      <c r="B16" s="73" t="s">
        <v>7</v>
      </c>
      <c r="C16" s="83" t="s">
        <v>105</v>
      </c>
      <c r="D16" s="81" t="s">
        <v>105</v>
      </c>
      <c r="E16" s="74" t="s">
        <v>105</v>
      </c>
    </row>
    <row r="17" spans="1:5" ht="13.5">
      <c r="A17" s="72" t="s">
        <v>92</v>
      </c>
      <c r="B17" s="73" t="s">
        <v>8</v>
      </c>
      <c r="C17" s="91">
        <v>0.43262</v>
      </c>
      <c r="D17" s="91">
        <v>1.0625</v>
      </c>
      <c r="E17" s="75">
        <f>E13</f>
        <v>145.59659747584485</v>
      </c>
    </row>
    <row r="18" spans="1:5" ht="13.5">
      <c r="A18" s="72" t="s">
        <v>93</v>
      </c>
      <c r="B18" s="73" t="s">
        <v>9</v>
      </c>
      <c r="C18" s="91">
        <v>0.43262</v>
      </c>
      <c r="D18" s="91">
        <v>1.0625</v>
      </c>
      <c r="E18" s="75">
        <f>E13</f>
        <v>145.59659747584485</v>
      </c>
    </row>
    <row r="19" spans="1:5" ht="63.75" customHeight="1">
      <c r="A19" s="140">
        <v>3</v>
      </c>
      <c r="B19" s="148" t="s">
        <v>209</v>
      </c>
      <c r="C19" s="145">
        <v>0.1321</v>
      </c>
      <c r="D19" s="145">
        <v>6.53545</v>
      </c>
      <c r="E19" s="147"/>
    </row>
    <row r="20" spans="1:5" ht="13.5">
      <c r="A20" s="140"/>
      <c r="B20" s="148"/>
      <c r="C20" s="146"/>
      <c r="D20" s="146"/>
      <c r="E20" s="147"/>
    </row>
    <row r="21" spans="1:5" ht="13.5">
      <c r="A21" s="72" t="s">
        <v>94</v>
      </c>
      <c r="B21" s="73" t="s">
        <v>6</v>
      </c>
      <c r="C21" s="83" t="s">
        <v>105</v>
      </c>
      <c r="D21" s="74" t="s">
        <v>105</v>
      </c>
      <c r="E21" s="74" t="s">
        <v>105</v>
      </c>
    </row>
    <row r="22" spans="1:5" ht="13.5">
      <c r="A22" s="72" t="s">
        <v>95</v>
      </c>
      <c r="B22" s="73" t="s">
        <v>7</v>
      </c>
      <c r="C22" s="83" t="s">
        <v>105</v>
      </c>
      <c r="D22" s="81" t="s">
        <v>105</v>
      </c>
      <c r="E22" s="74" t="s">
        <v>105</v>
      </c>
    </row>
    <row r="23" spans="1:5" ht="13.5">
      <c r="A23" s="72" t="s">
        <v>96</v>
      </c>
      <c r="B23" s="73" t="s">
        <v>8</v>
      </c>
      <c r="C23" s="83">
        <v>0.1321</v>
      </c>
      <c r="D23" s="91">
        <v>6.53545</v>
      </c>
      <c r="E23" s="75"/>
    </row>
    <row r="24" spans="1:5" ht="13.5">
      <c r="A24" s="72" t="s">
        <v>97</v>
      </c>
      <c r="B24" s="73" t="s">
        <v>9</v>
      </c>
      <c r="C24" s="83">
        <v>0.1321</v>
      </c>
      <c r="D24" s="91">
        <v>6.53545</v>
      </c>
      <c r="E24" s="75"/>
    </row>
    <row r="25" spans="1:5" ht="63.75" customHeight="1">
      <c r="A25" s="140">
        <v>4</v>
      </c>
      <c r="B25" s="148" t="s">
        <v>210</v>
      </c>
      <c r="C25" s="143">
        <v>0.0443</v>
      </c>
      <c r="D25" s="143">
        <v>1.0625</v>
      </c>
      <c r="E25" s="147"/>
    </row>
    <row r="26" spans="1:5" ht="13.5">
      <c r="A26" s="140"/>
      <c r="B26" s="148"/>
      <c r="C26" s="143"/>
      <c r="D26" s="143"/>
      <c r="E26" s="147"/>
    </row>
    <row r="27" spans="1:5" ht="13.5">
      <c r="A27" s="72" t="s">
        <v>98</v>
      </c>
      <c r="B27" s="73" t="s">
        <v>6</v>
      </c>
      <c r="C27" s="83" t="s">
        <v>105</v>
      </c>
      <c r="D27" s="74" t="s">
        <v>105</v>
      </c>
      <c r="E27" s="74" t="s">
        <v>105</v>
      </c>
    </row>
    <row r="28" spans="1:5" ht="13.5">
      <c r="A28" s="72" t="s">
        <v>99</v>
      </c>
      <c r="B28" s="73" t="s">
        <v>7</v>
      </c>
      <c r="C28" s="83" t="s">
        <v>105</v>
      </c>
      <c r="D28" s="81">
        <v>0</v>
      </c>
      <c r="E28" s="74" t="s">
        <v>105</v>
      </c>
    </row>
    <row r="29" spans="1:5" ht="13.5">
      <c r="A29" s="72" t="s">
        <v>100</v>
      </c>
      <c r="B29" s="73" t="s">
        <v>8</v>
      </c>
      <c r="C29" s="83">
        <v>0.0443</v>
      </c>
      <c r="D29" s="91">
        <v>1.0625</v>
      </c>
      <c r="E29" s="74" t="s">
        <v>105</v>
      </c>
    </row>
    <row r="30" spans="1:5" ht="13.5">
      <c r="A30" s="72" t="s">
        <v>101</v>
      </c>
      <c r="B30" s="73" t="s">
        <v>9</v>
      </c>
      <c r="C30" s="83">
        <v>0.0443</v>
      </c>
      <c r="D30" s="91">
        <v>1.0625</v>
      </c>
      <c r="E30" s="74" t="s">
        <v>105</v>
      </c>
    </row>
    <row r="31" spans="1:5" ht="39">
      <c r="A31" s="70">
        <v>5</v>
      </c>
      <c r="B31" s="76" t="s">
        <v>10</v>
      </c>
      <c r="C31" s="83">
        <v>0</v>
      </c>
      <c r="D31" s="74">
        <v>0</v>
      </c>
      <c r="E31" s="74">
        <v>0</v>
      </c>
    </row>
    <row r="32" spans="1:5" ht="52.5">
      <c r="A32" s="72" t="s">
        <v>102</v>
      </c>
      <c r="B32" s="76" t="s">
        <v>11</v>
      </c>
      <c r="C32" s="83">
        <v>0</v>
      </c>
      <c r="D32" s="74">
        <v>0</v>
      </c>
      <c r="E32" s="74">
        <v>0</v>
      </c>
    </row>
    <row r="34" spans="1:20" s="77" customFormat="1" ht="12.75" customHeight="1">
      <c r="A34" s="141" t="s">
        <v>212</v>
      </c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</row>
    <row r="35" ht="13.5">
      <c r="A35" s="78"/>
    </row>
    <row r="36" spans="1:20" ht="133.5" customHeight="1">
      <c r="A36" s="140" t="s">
        <v>2</v>
      </c>
      <c r="B36" s="140" t="s">
        <v>12</v>
      </c>
      <c r="C36" s="140" t="s">
        <v>13</v>
      </c>
      <c r="D36" s="140"/>
      <c r="E36" s="140"/>
      <c r="F36" s="140"/>
      <c r="G36" s="140" t="s">
        <v>14</v>
      </c>
      <c r="H36" s="140"/>
      <c r="I36" s="140"/>
      <c r="J36" s="140"/>
      <c r="K36" s="140" t="s">
        <v>15</v>
      </c>
      <c r="L36" s="140"/>
      <c r="M36" s="140"/>
      <c r="N36" s="140"/>
      <c r="O36" s="140" t="s">
        <v>16</v>
      </c>
      <c r="P36" s="140"/>
      <c r="Q36" s="140"/>
      <c r="R36" s="140"/>
      <c r="S36" s="140" t="s">
        <v>17</v>
      </c>
      <c r="T36" s="140" t="s">
        <v>18</v>
      </c>
    </row>
    <row r="37" spans="1:20" ht="33" customHeight="1">
      <c r="A37" s="140"/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</row>
    <row r="38" spans="1:20" ht="13.5">
      <c r="A38" s="140"/>
      <c r="B38" s="140"/>
      <c r="C38" s="70" t="s">
        <v>19</v>
      </c>
      <c r="D38" s="70" t="s">
        <v>20</v>
      </c>
      <c r="E38" s="70" t="s">
        <v>21</v>
      </c>
      <c r="F38" s="70" t="s">
        <v>22</v>
      </c>
      <c r="G38" s="70" t="s">
        <v>19</v>
      </c>
      <c r="H38" s="70" t="s">
        <v>20</v>
      </c>
      <c r="I38" s="70" t="s">
        <v>21</v>
      </c>
      <c r="J38" s="70" t="s">
        <v>22</v>
      </c>
      <c r="K38" s="70" t="s">
        <v>19</v>
      </c>
      <c r="L38" s="70" t="s">
        <v>20</v>
      </c>
      <c r="M38" s="70" t="s">
        <v>21</v>
      </c>
      <c r="N38" s="70" t="s">
        <v>22</v>
      </c>
      <c r="O38" s="70" t="s">
        <v>19</v>
      </c>
      <c r="P38" s="70" t="s">
        <v>20</v>
      </c>
      <c r="Q38" s="70" t="s">
        <v>21</v>
      </c>
      <c r="R38" s="70" t="s">
        <v>22</v>
      </c>
      <c r="S38" s="140"/>
      <c r="T38" s="140"/>
    </row>
    <row r="39" spans="1:20" ht="13.5">
      <c r="A39" s="70">
        <v>1</v>
      </c>
      <c r="B39" s="70">
        <v>2</v>
      </c>
      <c r="C39" s="70">
        <v>3</v>
      </c>
      <c r="D39" s="70">
        <v>4</v>
      </c>
      <c r="E39" s="70">
        <v>5</v>
      </c>
      <c r="F39" s="70">
        <v>6</v>
      </c>
      <c r="G39" s="70">
        <v>7</v>
      </c>
      <c r="H39" s="70">
        <v>8</v>
      </c>
      <c r="I39" s="70">
        <v>9</v>
      </c>
      <c r="J39" s="70">
        <v>10</v>
      </c>
      <c r="K39" s="70">
        <v>11</v>
      </c>
      <c r="L39" s="70">
        <v>12</v>
      </c>
      <c r="M39" s="70">
        <v>13</v>
      </c>
      <c r="N39" s="70">
        <v>14</v>
      </c>
      <c r="O39" s="70">
        <v>15</v>
      </c>
      <c r="P39" s="70">
        <v>16</v>
      </c>
      <c r="Q39" s="70">
        <v>17</v>
      </c>
      <c r="R39" s="70">
        <v>18</v>
      </c>
      <c r="S39" s="70">
        <v>19</v>
      </c>
      <c r="T39" s="70">
        <v>20</v>
      </c>
    </row>
    <row r="40" spans="1:20" ht="13.5">
      <c r="A40" s="70">
        <v>1</v>
      </c>
      <c r="B40" s="79" t="s">
        <v>219</v>
      </c>
      <c r="C40" s="70"/>
      <c r="D40" s="80"/>
      <c r="E40" s="70">
        <f>D7</f>
        <v>6.53545</v>
      </c>
      <c r="F40" s="70">
        <f>D12</f>
        <v>6.53545</v>
      </c>
      <c r="G40" s="70"/>
      <c r="H40" s="80"/>
      <c r="I40" s="70">
        <f>D13</f>
        <v>1.0625</v>
      </c>
      <c r="J40" s="70">
        <f>D18</f>
        <v>1.0625</v>
      </c>
      <c r="K40" s="70"/>
      <c r="L40" s="80"/>
      <c r="M40" s="70">
        <f>D23</f>
        <v>6.53545</v>
      </c>
      <c r="N40" s="70">
        <f>D24</f>
        <v>6.53545</v>
      </c>
      <c r="O40" s="70"/>
      <c r="P40" s="70"/>
      <c r="Q40" s="84">
        <f>H23</f>
        <v>0</v>
      </c>
      <c r="R40" s="84">
        <f>I23</f>
        <v>0</v>
      </c>
      <c r="S40" s="70">
        <v>0.8975</v>
      </c>
      <c r="T40" s="70" t="s">
        <v>105</v>
      </c>
    </row>
    <row r="41" spans="1:20" ht="13.5">
      <c r="A41" s="70" t="s">
        <v>23</v>
      </c>
      <c r="B41" s="79" t="s">
        <v>24</v>
      </c>
      <c r="C41" s="74"/>
      <c r="D41" s="81"/>
      <c r="E41" s="74">
        <f aca="true" t="shared" si="0" ref="E41:S41">E40</f>
        <v>6.53545</v>
      </c>
      <c r="F41" s="74">
        <f t="shared" si="0"/>
        <v>6.53545</v>
      </c>
      <c r="G41" s="74"/>
      <c r="H41" s="81"/>
      <c r="I41" s="74">
        <f t="shared" si="0"/>
        <v>1.0625</v>
      </c>
      <c r="J41" s="74">
        <f t="shared" si="0"/>
        <v>1.0625</v>
      </c>
      <c r="K41" s="74"/>
      <c r="L41" s="81"/>
      <c r="M41" s="74">
        <f t="shared" si="0"/>
        <v>6.53545</v>
      </c>
      <c r="N41" s="74">
        <f t="shared" si="0"/>
        <v>6.53545</v>
      </c>
      <c r="O41" s="74"/>
      <c r="P41" s="74"/>
      <c r="Q41" s="84">
        <f>H24</f>
        <v>0</v>
      </c>
      <c r="R41" s="84">
        <f>I24</f>
        <v>0</v>
      </c>
      <c r="S41" s="74">
        <f t="shared" si="0"/>
        <v>0.8975</v>
      </c>
      <c r="T41" s="74" t="s">
        <v>105</v>
      </c>
    </row>
    <row r="42" ht="13.5">
      <c r="A42" s="78"/>
    </row>
    <row r="43" spans="1:20" ht="15" customHeight="1">
      <c r="A43" s="141" t="s">
        <v>113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</row>
    <row r="44" spans="1:20" ht="15" customHeight="1">
      <c r="A44" s="144" t="s">
        <v>114</v>
      </c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</row>
    <row r="45" spans="1:20" ht="15" customHeight="1">
      <c r="A45" s="144" t="s">
        <v>115</v>
      </c>
      <c r="B45" s="144"/>
      <c r="C45" s="144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144"/>
      <c r="P45" s="144"/>
      <c r="Q45" s="144"/>
      <c r="R45" s="144"/>
      <c r="S45" s="144"/>
      <c r="T45" s="144"/>
    </row>
    <row r="46" spans="1:20" ht="15" customHeight="1">
      <c r="A46" s="144" t="s">
        <v>116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</row>
    <row r="47" spans="1:20" ht="15" customHeight="1">
      <c r="A47" s="141" t="s">
        <v>25</v>
      </c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</row>
  </sheetData>
  <sheetProtection/>
  <mergeCells count="39">
    <mergeCell ref="E7:E8"/>
    <mergeCell ref="B7:B8"/>
    <mergeCell ref="D13:D14"/>
    <mergeCell ref="E13:E14"/>
    <mergeCell ref="B25:B26"/>
    <mergeCell ref="A1:M1"/>
    <mergeCell ref="A4:A5"/>
    <mergeCell ref="B4:B5"/>
    <mergeCell ref="C4:E4"/>
    <mergeCell ref="A7:A8"/>
    <mergeCell ref="C7:C8"/>
    <mergeCell ref="D7:D8"/>
    <mergeCell ref="B13:B14"/>
    <mergeCell ref="B19:B20"/>
    <mergeCell ref="A34:T34"/>
    <mergeCell ref="A2:M2"/>
    <mergeCell ref="A25:A26"/>
    <mergeCell ref="C25:C26"/>
    <mergeCell ref="D25:D26"/>
    <mergeCell ref="E25:E26"/>
    <mergeCell ref="A13:A14"/>
    <mergeCell ref="C13:C14"/>
    <mergeCell ref="O36:R37"/>
    <mergeCell ref="A44:T44"/>
    <mergeCell ref="A46:T46"/>
    <mergeCell ref="A19:A20"/>
    <mergeCell ref="C19:C20"/>
    <mergeCell ref="D19:D20"/>
    <mergeCell ref="E19:E20"/>
    <mergeCell ref="A45:T45"/>
    <mergeCell ref="S36:S38"/>
    <mergeCell ref="T36:T38"/>
    <mergeCell ref="A43:T43"/>
    <mergeCell ref="A47:T47"/>
    <mergeCell ref="A36:A38"/>
    <mergeCell ref="B36:B38"/>
    <mergeCell ref="C36:F37"/>
    <mergeCell ref="G36:J37"/>
    <mergeCell ref="K36:N37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85" zoomScaleNormal="85" zoomScaleSheetLayoutView="100" zoomScalePageLayoutView="0" workbookViewId="0" topLeftCell="A8">
      <selection activeCell="M16" sqref="M16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0.57421875" style="1" customWidth="1"/>
    <col min="6" max="6" width="12.28125" style="1" customWidth="1"/>
    <col min="7" max="7" width="10.7109375" style="1" customWidth="1"/>
    <col min="8" max="8" width="11.421875" style="1" customWidth="1"/>
    <col min="9" max="9" width="12.00390625" style="1" customWidth="1"/>
    <col min="10" max="10" width="12.28125" style="1" customWidth="1"/>
    <col min="11" max="11" width="13.28125" style="1" customWidth="1"/>
    <col min="12" max="12" width="13.421875" style="1" customWidth="1"/>
    <col min="13" max="13" width="10.8515625" style="1" customWidth="1"/>
    <col min="14" max="14" width="13.57421875" style="1" customWidth="1"/>
    <col min="15" max="15" width="10.421875" style="1" customWidth="1"/>
    <col min="16" max="16" width="11.140625" style="1" customWidth="1"/>
    <col min="17" max="17" width="15.7109375" style="1" customWidth="1"/>
    <col min="18" max="18" width="13.28125" style="1" customWidth="1"/>
    <col min="19" max="19" width="14.7109375" style="1" customWidth="1"/>
    <col min="20" max="20" width="12.7109375" style="1" customWidth="1"/>
    <col min="21" max="16384" width="9.140625" style="1" customWidth="1"/>
  </cols>
  <sheetData>
    <row r="1" spans="1:13" s="3" customFormat="1" ht="15">
      <c r="A1" s="119" t="s">
        <v>213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ht="13.5">
      <c r="A2" s="193"/>
      <c r="B2" s="188"/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</row>
    <row r="3" spans="1:18" ht="56.25" customHeight="1">
      <c r="A3" s="187" t="s">
        <v>214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88"/>
      <c r="O3" s="188"/>
      <c r="P3" s="188"/>
      <c r="Q3" s="188"/>
      <c r="R3" s="188"/>
    </row>
    <row r="4" spans="1:18" ht="13.5">
      <c r="A4" s="187" t="s">
        <v>110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88"/>
      <c r="O4" s="188"/>
      <c r="P4" s="188"/>
      <c r="Q4" s="188"/>
      <c r="R4" s="188"/>
    </row>
    <row r="5" spans="1:18" ht="13.5">
      <c r="A5" s="190" t="s">
        <v>112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</row>
    <row r="6" spans="1:18" ht="13.5">
      <c r="A6" s="190" t="s">
        <v>109</v>
      </c>
      <c r="B6" s="190"/>
      <c r="C6" s="190"/>
      <c r="D6" s="190"/>
      <c r="E6" s="190"/>
      <c r="F6" s="190"/>
      <c r="G6" s="190"/>
      <c r="H6" s="190"/>
      <c r="I6" s="190"/>
      <c r="J6" s="190"/>
      <c r="K6" s="190"/>
      <c r="L6" s="190"/>
      <c r="M6" s="190"/>
      <c r="N6" s="190"/>
      <c r="O6" s="190"/>
      <c r="P6" s="190"/>
      <c r="Q6" s="190"/>
      <c r="R6" s="190"/>
    </row>
    <row r="7" spans="1:18" ht="13.5">
      <c r="A7" s="190" t="s">
        <v>111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0"/>
      <c r="N7" s="190"/>
      <c r="O7" s="190"/>
      <c r="P7" s="190"/>
      <c r="Q7" s="190"/>
      <c r="R7" s="190"/>
    </row>
    <row r="8" spans="1:18" ht="13.5">
      <c r="A8" s="187" t="s">
        <v>27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88"/>
      <c r="O8" s="188"/>
      <c r="P8" s="188"/>
      <c r="Q8" s="188"/>
      <c r="R8" s="188"/>
    </row>
    <row r="9" spans="1:13" ht="13.5">
      <c r="A9" s="187" t="s">
        <v>28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</row>
    <row r="10" ht="13.5">
      <c r="A10" s="2"/>
    </row>
    <row r="11" spans="1:18" ht="13.5">
      <c r="A11" s="189" t="s">
        <v>2</v>
      </c>
      <c r="B11" s="189" t="s">
        <v>0</v>
      </c>
      <c r="C11" s="189" t="s">
        <v>29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 t="s">
        <v>30</v>
      </c>
    </row>
    <row r="12" spans="1:18" ht="25.5" customHeight="1">
      <c r="A12" s="189"/>
      <c r="B12" s="189"/>
      <c r="C12" s="189" t="s">
        <v>31</v>
      </c>
      <c r="D12" s="189"/>
      <c r="E12" s="189"/>
      <c r="F12" s="189" t="s">
        <v>32</v>
      </c>
      <c r="G12" s="189"/>
      <c r="H12" s="189"/>
      <c r="I12" s="189" t="s">
        <v>33</v>
      </c>
      <c r="J12" s="189"/>
      <c r="K12" s="189"/>
      <c r="L12" s="189" t="s">
        <v>34</v>
      </c>
      <c r="M12" s="189"/>
      <c r="N12" s="189"/>
      <c r="O12" s="189" t="s">
        <v>35</v>
      </c>
      <c r="P12" s="189"/>
      <c r="Q12" s="189"/>
      <c r="R12" s="189"/>
    </row>
    <row r="13" spans="1:18" ht="52.5">
      <c r="A13" s="189"/>
      <c r="B13" s="189"/>
      <c r="C13" s="60" t="s">
        <v>3</v>
      </c>
      <c r="D13" s="60" t="s">
        <v>4</v>
      </c>
      <c r="E13" s="85" t="s">
        <v>36</v>
      </c>
      <c r="F13" s="60" t="s">
        <v>3</v>
      </c>
      <c r="G13" s="60" t="s">
        <v>4</v>
      </c>
      <c r="H13" s="60" t="s">
        <v>5</v>
      </c>
      <c r="I13" s="60" t="s">
        <v>3</v>
      </c>
      <c r="J13" s="60" t="s">
        <v>4</v>
      </c>
      <c r="K13" s="60" t="s">
        <v>36</v>
      </c>
      <c r="L13" s="60" t="s">
        <v>3</v>
      </c>
      <c r="M13" s="60" t="s">
        <v>4</v>
      </c>
      <c r="N13" s="60" t="s">
        <v>36</v>
      </c>
      <c r="O13" s="60" t="s">
        <v>3</v>
      </c>
      <c r="P13" s="60" t="s">
        <v>4</v>
      </c>
      <c r="Q13" s="60" t="s">
        <v>36</v>
      </c>
      <c r="R13" s="61"/>
    </row>
    <row r="14" spans="1:18" ht="13.5">
      <c r="A14" s="60">
        <v>1</v>
      </c>
      <c r="B14" s="60">
        <v>2</v>
      </c>
      <c r="C14" s="60">
        <v>3</v>
      </c>
      <c r="D14" s="60">
        <v>4</v>
      </c>
      <c r="E14" s="60">
        <v>5</v>
      </c>
      <c r="F14" s="60">
        <v>6</v>
      </c>
      <c r="G14" s="60">
        <v>7</v>
      </c>
      <c r="H14" s="60">
        <v>8</v>
      </c>
      <c r="I14" s="60">
        <v>9</v>
      </c>
      <c r="J14" s="60">
        <v>10</v>
      </c>
      <c r="K14" s="60">
        <v>11</v>
      </c>
      <c r="L14" s="60">
        <v>12</v>
      </c>
      <c r="M14" s="60">
        <v>13</v>
      </c>
      <c r="N14" s="60">
        <v>14</v>
      </c>
      <c r="O14" s="60">
        <v>15</v>
      </c>
      <c r="P14" s="60">
        <v>16</v>
      </c>
      <c r="Q14" s="60">
        <v>17</v>
      </c>
      <c r="R14" s="60">
        <v>18</v>
      </c>
    </row>
    <row r="15" spans="1:18" ht="39">
      <c r="A15" s="6">
        <v>1</v>
      </c>
      <c r="B15" s="9" t="s">
        <v>37</v>
      </c>
      <c r="C15" s="7">
        <v>23</v>
      </c>
      <c r="D15" s="7">
        <v>2</v>
      </c>
      <c r="E15" s="7">
        <f>ROUND((D15-C15)/C15*100,0)</f>
        <v>-91</v>
      </c>
      <c r="F15" s="7">
        <v>6</v>
      </c>
      <c r="G15" s="7">
        <v>8</v>
      </c>
      <c r="H15" s="7">
        <f>(G15-F15)/F15*100</f>
        <v>33.33333333333333</v>
      </c>
      <c r="I15" s="7">
        <v>5</v>
      </c>
      <c r="J15" s="7">
        <v>6</v>
      </c>
      <c r="K15" s="7">
        <f>(J15-I15)/J15*100</f>
        <v>16.666666666666664</v>
      </c>
      <c r="L15" s="7">
        <v>2</v>
      </c>
      <c r="M15" s="7">
        <v>5</v>
      </c>
      <c r="N15" s="7">
        <f>(M15-L15)/M15*100</f>
        <v>60</v>
      </c>
      <c r="O15" s="7">
        <v>0</v>
      </c>
      <c r="P15" s="7">
        <v>0</v>
      </c>
      <c r="Q15" s="7">
        <v>0</v>
      </c>
      <c r="R15" s="7">
        <f>D15+G15+J15+M15+P15</f>
        <v>21</v>
      </c>
    </row>
    <row r="16" spans="1:18" ht="66">
      <c r="A16" s="6">
        <v>2</v>
      </c>
      <c r="B16" s="8" t="s">
        <v>38</v>
      </c>
      <c r="C16" s="7">
        <v>23</v>
      </c>
      <c r="D16" s="7">
        <v>2</v>
      </c>
      <c r="E16" s="7">
        <f>ROUND((D16-C16)/C16*100,0)</f>
        <v>-91</v>
      </c>
      <c r="F16" s="7">
        <v>6</v>
      </c>
      <c r="G16" s="7">
        <v>5</v>
      </c>
      <c r="H16" s="7">
        <f>(G16-F16)/F16*100</f>
        <v>-16.666666666666664</v>
      </c>
      <c r="I16" s="7">
        <v>5</v>
      </c>
      <c r="J16" s="7">
        <v>5</v>
      </c>
      <c r="K16" s="7">
        <f>(J16-I16)/J16*100</f>
        <v>0</v>
      </c>
      <c r="L16" s="7">
        <v>2</v>
      </c>
      <c r="M16" s="7">
        <v>4</v>
      </c>
      <c r="N16" s="7">
        <f>(M16-L16)/M16*100</f>
        <v>50</v>
      </c>
      <c r="O16" s="7">
        <v>0</v>
      </c>
      <c r="P16" s="7">
        <v>0</v>
      </c>
      <c r="Q16" s="7">
        <v>0</v>
      </c>
      <c r="R16" s="7">
        <f>D16+G16+J16+M16+P16</f>
        <v>16</v>
      </c>
    </row>
    <row r="17" spans="1:18" ht="105">
      <c r="A17" s="6">
        <v>3</v>
      </c>
      <c r="B17" s="8" t="s">
        <v>39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  <c r="R17" s="7">
        <f aca="true" t="shared" si="0" ref="R17:R25">D17+G17+J17+M17+P17</f>
        <v>0</v>
      </c>
    </row>
    <row r="18" spans="1:18" ht="13.5">
      <c r="A18" s="10" t="s">
        <v>94</v>
      </c>
      <c r="B18" s="8" t="s">
        <v>40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f t="shared" si="0"/>
        <v>0</v>
      </c>
    </row>
    <row r="19" spans="1:18" ht="13.5">
      <c r="A19" s="10" t="s">
        <v>95</v>
      </c>
      <c r="B19" s="8" t="s">
        <v>41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f t="shared" si="0"/>
        <v>0</v>
      </c>
    </row>
    <row r="20" spans="1:18" ht="66">
      <c r="A20" s="6">
        <v>4</v>
      </c>
      <c r="B20" s="8" t="s">
        <v>42</v>
      </c>
      <c r="C20" s="7">
        <v>10</v>
      </c>
      <c r="D20" s="7">
        <v>8</v>
      </c>
      <c r="E20" s="35">
        <f>(D20-C20)/C20*100</f>
        <v>-20</v>
      </c>
      <c r="F20" s="7">
        <v>11</v>
      </c>
      <c r="G20" s="7">
        <v>3</v>
      </c>
      <c r="H20" s="35">
        <f>(G20-F20)/F20*100</f>
        <v>-72.72727272727273</v>
      </c>
      <c r="I20" s="7">
        <v>13</v>
      </c>
      <c r="J20" s="7">
        <v>4</v>
      </c>
      <c r="K20" s="35">
        <f>(J20-I20)/J20*100</f>
        <v>-225</v>
      </c>
      <c r="L20" s="7">
        <v>3</v>
      </c>
      <c r="M20" s="7">
        <v>5</v>
      </c>
      <c r="N20" s="7">
        <f>(M20-L20)/M20*100</f>
        <v>40</v>
      </c>
      <c r="O20" s="7">
        <v>0</v>
      </c>
      <c r="P20" s="7">
        <v>0</v>
      </c>
      <c r="Q20" s="7">
        <v>0</v>
      </c>
      <c r="R20" s="7">
        <f t="shared" si="0"/>
        <v>20</v>
      </c>
    </row>
    <row r="21" spans="1:18" ht="52.5">
      <c r="A21" s="6">
        <v>5</v>
      </c>
      <c r="B21" s="8" t="s">
        <v>43</v>
      </c>
      <c r="C21" s="7">
        <v>22</v>
      </c>
      <c r="D21" s="7">
        <v>1</v>
      </c>
      <c r="E21" s="7">
        <f>ROUND((D21-C21)/C21*100,0)</f>
        <v>-95</v>
      </c>
      <c r="F21" s="7">
        <v>6</v>
      </c>
      <c r="G21" s="7">
        <v>5</v>
      </c>
      <c r="H21" s="35">
        <f>(G21-F21)/F21*100</f>
        <v>-16.666666666666664</v>
      </c>
      <c r="I21" s="7">
        <v>5</v>
      </c>
      <c r="J21" s="7">
        <v>4</v>
      </c>
      <c r="K21" s="7">
        <f>(J21-I21)/J21*100</f>
        <v>-25</v>
      </c>
      <c r="L21" s="7">
        <v>1</v>
      </c>
      <c r="M21" s="7">
        <v>1</v>
      </c>
      <c r="N21" s="7">
        <f>(M21-L21)/M21*100</f>
        <v>0</v>
      </c>
      <c r="O21" s="7">
        <v>0</v>
      </c>
      <c r="P21" s="7">
        <v>0</v>
      </c>
      <c r="Q21" s="7">
        <v>0</v>
      </c>
      <c r="R21" s="7">
        <f t="shared" si="0"/>
        <v>11</v>
      </c>
    </row>
    <row r="22" spans="1:18" ht="52.5">
      <c r="A22" s="6">
        <v>6</v>
      </c>
      <c r="B22" s="8" t="s">
        <v>44</v>
      </c>
      <c r="C22" s="7">
        <v>21</v>
      </c>
      <c r="D22" s="7">
        <v>1</v>
      </c>
      <c r="E22" s="7">
        <f>(D22-C22)/C22*100</f>
        <v>-95.23809523809523</v>
      </c>
      <c r="F22" s="7">
        <v>4</v>
      </c>
      <c r="G22" s="7">
        <v>5</v>
      </c>
      <c r="H22" s="35">
        <f>(G22-F22)/F22*100</f>
        <v>25</v>
      </c>
      <c r="I22" s="7">
        <v>0</v>
      </c>
      <c r="J22" s="7">
        <v>1</v>
      </c>
      <c r="K22" s="7">
        <f>(I22-J22)/J22*100</f>
        <v>-100</v>
      </c>
      <c r="L22" s="7">
        <v>0</v>
      </c>
      <c r="M22" s="7">
        <v>0</v>
      </c>
      <c r="N22" s="7" t="e">
        <f>(L22-M22)/M22*100</f>
        <v>#DIV/0!</v>
      </c>
      <c r="O22" s="7">
        <v>0</v>
      </c>
      <c r="P22" s="7">
        <v>0</v>
      </c>
      <c r="Q22" s="7">
        <v>0</v>
      </c>
      <c r="R22" s="7">
        <f>D22+G22+J22+M22+P22</f>
        <v>7</v>
      </c>
    </row>
    <row r="23" spans="1:18" ht="92.25">
      <c r="A23" s="6">
        <v>7</v>
      </c>
      <c r="B23" s="8" t="s">
        <v>45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f t="shared" si="0"/>
        <v>0</v>
      </c>
    </row>
    <row r="24" spans="1:18" ht="13.5">
      <c r="A24" s="10" t="s">
        <v>103</v>
      </c>
      <c r="B24" s="8" t="s">
        <v>40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f t="shared" si="0"/>
        <v>0</v>
      </c>
    </row>
    <row r="25" spans="1:18" ht="13.5">
      <c r="A25" s="10" t="s">
        <v>104</v>
      </c>
      <c r="B25" s="8" t="s">
        <v>46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f t="shared" si="0"/>
        <v>0</v>
      </c>
    </row>
    <row r="26" spans="1:18" ht="52.5">
      <c r="A26" s="6">
        <v>8</v>
      </c>
      <c r="B26" s="8" t="s">
        <v>47</v>
      </c>
      <c r="C26" s="7">
        <v>5</v>
      </c>
      <c r="D26" s="7">
        <v>55</v>
      </c>
      <c r="E26" s="7">
        <f>(C26-D26)/D26*100</f>
        <v>-90.9090909090909</v>
      </c>
      <c r="F26" s="7">
        <v>56</v>
      </c>
      <c r="G26" s="7">
        <v>62</v>
      </c>
      <c r="H26" s="35">
        <f>(G26-F26)/F26*100</f>
        <v>10.714285714285714</v>
      </c>
      <c r="I26" s="7">
        <v>0</v>
      </c>
      <c r="J26" s="7">
        <v>57</v>
      </c>
      <c r="K26" s="7">
        <f>(I26-J26)/J26*100</f>
        <v>-100</v>
      </c>
      <c r="L26" s="7">
        <v>0</v>
      </c>
      <c r="M26" s="7">
        <v>0</v>
      </c>
      <c r="N26" s="7" t="e">
        <f>(L26-M26)/M26*100</f>
        <v>#DIV/0!</v>
      </c>
      <c r="O26" s="7">
        <v>0</v>
      </c>
      <c r="P26" s="7">
        <v>0</v>
      </c>
      <c r="Q26" s="7">
        <v>0</v>
      </c>
      <c r="R26" s="7">
        <f>D26+G26+J26+M26+P26</f>
        <v>174</v>
      </c>
    </row>
    <row r="27" ht="13.5">
      <c r="A27" s="2"/>
    </row>
    <row r="28" spans="1:18" ht="28.5" customHeight="1">
      <c r="A28" s="182" t="s">
        <v>260</v>
      </c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</row>
    <row r="29" spans="1:17" ht="28.5" customHeight="1" thickBot="1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  <c r="N29" s="93" t="s">
        <v>238</v>
      </c>
      <c r="O29" s="92"/>
      <c r="Q29" s="92"/>
    </row>
    <row r="30" spans="2:14" ht="13.5">
      <c r="B30" s="183" t="s">
        <v>239</v>
      </c>
      <c r="C30" s="184"/>
      <c r="D30" s="185"/>
      <c r="E30" s="183">
        <v>15</v>
      </c>
      <c r="F30" s="185"/>
      <c r="G30" s="183">
        <v>150</v>
      </c>
      <c r="H30" s="185"/>
      <c r="I30" s="186">
        <v>320</v>
      </c>
      <c r="J30" s="185"/>
      <c r="K30" s="186">
        <v>670</v>
      </c>
      <c r="L30" s="185"/>
      <c r="M30" s="183">
        <v>15</v>
      </c>
      <c r="N30" s="185"/>
    </row>
    <row r="31" spans="2:14" ht="13.5">
      <c r="B31" s="169" t="s">
        <v>48</v>
      </c>
      <c r="C31" s="170"/>
      <c r="D31" s="171"/>
      <c r="E31" s="94" t="s">
        <v>240</v>
      </c>
      <c r="F31" s="95" t="s">
        <v>241</v>
      </c>
      <c r="G31" s="94" t="s">
        <v>240</v>
      </c>
      <c r="H31" s="95" t="s">
        <v>241</v>
      </c>
      <c r="I31" s="96" t="s">
        <v>240</v>
      </c>
      <c r="J31" s="95" t="s">
        <v>241</v>
      </c>
      <c r="K31" s="96" t="s">
        <v>240</v>
      </c>
      <c r="L31" s="95" t="s">
        <v>241</v>
      </c>
      <c r="M31" s="94" t="s">
        <v>240</v>
      </c>
      <c r="N31" s="95" t="s">
        <v>241</v>
      </c>
    </row>
    <row r="32" spans="2:14" ht="93" thickBot="1">
      <c r="B32" s="97" t="s">
        <v>242</v>
      </c>
      <c r="C32" s="98" t="s">
        <v>243</v>
      </c>
      <c r="D32" s="99" t="s">
        <v>244</v>
      </c>
      <c r="E32" s="97" t="s">
        <v>245</v>
      </c>
      <c r="F32" s="99" t="s">
        <v>246</v>
      </c>
      <c r="G32" s="97" t="s">
        <v>245</v>
      </c>
      <c r="H32" s="99" t="s">
        <v>245</v>
      </c>
      <c r="I32" s="100" t="s">
        <v>245</v>
      </c>
      <c r="J32" s="99" t="s">
        <v>245</v>
      </c>
      <c r="K32" s="100" t="s">
        <v>245</v>
      </c>
      <c r="L32" s="99" t="s">
        <v>245</v>
      </c>
      <c r="M32" s="104" t="s">
        <v>245</v>
      </c>
      <c r="N32" s="105" t="s">
        <v>246</v>
      </c>
    </row>
    <row r="33" spans="2:20" ht="15" customHeight="1" thickBot="1">
      <c r="B33" s="172" t="s">
        <v>247</v>
      </c>
      <c r="C33" s="173"/>
      <c r="D33" s="174"/>
      <c r="E33" s="175" t="s">
        <v>248</v>
      </c>
      <c r="F33" s="176"/>
      <c r="G33" s="176"/>
      <c r="H33" s="176"/>
      <c r="I33" s="176"/>
      <c r="J33" s="176"/>
      <c r="K33" s="176"/>
      <c r="L33" s="177"/>
      <c r="M33" s="191" t="s">
        <v>261</v>
      </c>
      <c r="N33" s="192"/>
      <c r="O33" s="42"/>
      <c r="P33" s="42"/>
      <c r="Q33" s="42"/>
      <c r="R33" s="42"/>
      <c r="S33" s="42"/>
      <c r="T33" s="42"/>
    </row>
    <row r="34" spans="2:14" ht="17.25" customHeight="1">
      <c r="B34" s="178" t="s">
        <v>249</v>
      </c>
      <c r="C34" s="179" t="s">
        <v>250</v>
      </c>
      <c r="D34" s="101" t="s">
        <v>251</v>
      </c>
      <c r="E34" s="167" t="s">
        <v>105</v>
      </c>
      <c r="F34" s="168" t="s">
        <v>105</v>
      </c>
      <c r="G34" s="180" t="s">
        <v>105</v>
      </c>
      <c r="H34" s="181" t="s">
        <v>105</v>
      </c>
      <c r="I34" s="106">
        <f>(12169.17+17070.15)+26282.31*2+(5025798.62*0.3+8076.9*320)*2</f>
        <v>8266499.112000001</v>
      </c>
      <c r="J34" s="109">
        <f>(12169.17+17070.15)+26282.31*1+5025798.62*0.3+1269.69*320</f>
        <v>1969562.016</v>
      </c>
      <c r="K34" s="112">
        <f>(12169.17+17070.15)+36925.42*2+(5609413.07*0.3+6045.46*670)*2</f>
        <v>11569654.402</v>
      </c>
      <c r="L34" s="113">
        <f>(12169.17+17070.15)+36925.42*1+5609413.07*0.3+6045.46*670</f>
        <v>5799446.8610000005</v>
      </c>
      <c r="M34" s="167" t="s">
        <v>105</v>
      </c>
      <c r="N34" s="168" t="s">
        <v>105</v>
      </c>
    </row>
    <row r="35" spans="2:14" ht="14.25" customHeight="1">
      <c r="B35" s="163"/>
      <c r="C35" s="157"/>
      <c r="D35" s="102" t="s">
        <v>252</v>
      </c>
      <c r="E35" s="152"/>
      <c r="F35" s="153"/>
      <c r="G35" s="154"/>
      <c r="H35" s="166"/>
      <c r="I35" s="107">
        <f>(12169.17+17070.15)+26282.31*2+(2026420.01*0.3+8076.9*320)*2</f>
        <v>6466871.946</v>
      </c>
      <c r="J35" s="110">
        <f>(12169.17+17070.15)+26282.31*1+2026420.01*0.3+1269.69*320</f>
        <v>1069748.4330000002</v>
      </c>
      <c r="K35" s="114">
        <f>(12169.17+17070.15)+36925.42*2+(1802025.16*0.3+6045.46*670)*2</f>
        <v>9285221.656</v>
      </c>
      <c r="L35" s="115">
        <f>(12169.17+17070.15)+36925.42*1+1802025.16*0.3+6045.46*670</f>
        <v>4657230.488</v>
      </c>
      <c r="M35" s="152"/>
      <c r="N35" s="161"/>
    </row>
    <row r="36" spans="2:14" ht="13.5" customHeight="1">
      <c r="B36" s="163"/>
      <c r="C36" s="157" t="s">
        <v>253</v>
      </c>
      <c r="D36" s="102" t="s">
        <v>251</v>
      </c>
      <c r="E36" s="152" t="s">
        <v>105</v>
      </c>
      <c r="F36" s="153" t="s">
        <v>105</v>
      </c>
      <c r="G36" s="154">
        <f>(12411.89+11567.44)+253207.86*2</f>
        <v>530395.0499999999</v>
      </c>
      <c r="H36" s="155">
        <f>(12411.89+11567.44)+253207.86*1</f>
        <v>277187.19</v>
      </c>
      <c r="I36" s="107">
        <f>(12169.17+17070.15)+253207.86*2+5025798.62*0.3*2</f>
        <v>3551134.212</v>
      </c>
      <c r="J36" s="110">
        <f>(12169.17+17070.15)+253207.86*1+5025798.62*0.3</f>
        <v>1790186.7659999998</v>
      </c>
      <c r="K36" s="114">
        <f>(12169.17+17070.15)+253207.86*2+5609413.07*0.3*2</f>
        <v>3901302.882</v>
      </c>
      <c r="L36" s="115">
        <f>(12169.17+17070.15)+253207.86*1+5609413.07*0.3</f>
        <v>1965271.101</v>
      </c>
      <c r="M36" s="152" t="s">
        <v>105</v>
      </c>
      <c r="N36" s="161" t="s">
        <v>105</v>
      </c>
    </row>
    <row r="37" spans="2:14" ht="13.5">
      <c r="B37" s="163"/>
      <c r="C37" s="157"/>
      <c r="D37" s="102" t="s">
        <v>252</v>
      </c>
      <c r="E37" s="152"/>
      <c r="F37" s="153"/>
      <c r="G37" s="154"/>
      <c r="H37" s="155"/>
      <c r="I37" s="107">
        <f>(12169.17+17070.15)+253207.86*2+2026420.01*0.3*2</f>
        <v>1751507.046</v>
      </c>
      <c r="J37" s="110">
        <f>(12169.17+17070.15)+253207.86*1+2026420.01*0.3</f>
        <v>890373.183</v>
      </c>
      <c r="K37" s="114">
        <f>(12169.17+17070.15)+253207.86*2+1829893.78*0.3*2</f>
        <v>1633591.3079999997</v>
      </c>
      <c r="L37" s="115">
        <f>(12169.17+17070.15)+253207.86*1+1829893.78*0.3</f>
        <v>831415.314</v>
      </c>
      <c r="M37" s="152"/>
      <c r="N37" s="161"/>
    </row>
    <row r="38" spans="2:14" ht="13.5" customHeight="1">
      <c r="B38" s="163"/>
      <c r="C38" s="157" t="s">
        <v>253</v>
      </c>
      <c r="D38" s="102" t="s">
        <v>254</v>
      </c>
      <c r="E38" s="154">
        <f>(12411.89+11567.44)+23251.01*2</f>
        <v>70481.35</v>
      </c>
      <c r="F38" s="153" t="s">
        <v>255</v>
      </c>
      <c r="G38" s="154">
        <f>(12411.89+11567.44)+36925.42*2</f>
        <v>97830.17</v>
      </c>
      <c r="H38" s="155">
        <f>(12411.89+11567.44)+36925.42*1</f>
        <v>60904.75</v>
      </c>
      <c r="I38" s="107">
        <f>(12169.17+17070.15)+26282.31*2+1312028.96*0.3*2</f>
        <v>869021.3159999999</v>
      </c>
      <c r="J38" s="110">
        <f>(12169.17+17070.15)+26282.31*1+1312028.96*0.3</f>
        <v>449130.31799999997</v>
      </c>
      <c r="K38" s="114">
        <f>(12169.17+17070.15)+36925.42*2+5827039.56*0.3*2</f>
        <v>3599313.8959999997</v>
      </c>
      <c r="L38" s="115">
        <f>(12169.17+17070.15)+36925.42*1+5827039.56*0.3</f>
        <v>1814276.6079999998</v>
      </c>
      <c r="M38" s="154">
        <f>(12411.89+11567.44)+23251.01*2</f>
        <v>70481.35</v>
      </c>
      <c r="N38" s="155">
        <f>(3000)*15</f>
        <v>45000</v>
      </c>
    </row>
    <row r="39" spans="2:14" ht="13.5" customHeight="1">
      <c r="B39" s="163"/>
      <c r="C39" s="157"/>
      <c r="D39" s="102" t="s">
        <v>256</v>
      </c>
      <c r="E39" s="154"/>
      <c r="F39" s="165"/>
      <c r="G39" s="154"/>
      <c r="H39" s="155"/>
      <c r="I39" s="107">
        <f>(12169.17+17070.15)+26282.31*2+807460.66*0.3*2</f>
        <v>566280.336</v>
      </c>
      <c r="J39" s="110">
        <f>(12169.17+17070.15)+26282.31*1+807460.66*0.3</f>
        <v>297759.828</v>
      </c>
      <c r="K39" s="114">
        <f>(12169.17+17070.15)+36925.42*2+1802025.16*0.3*2</f>
        <v>1184305.2559999998</v>
      </c>
      <c r="L39" s="115">
        <f>(12169.17+17070.15)+36925.42*1+1802025.16*0.3</f>
        <v>606772.288</v>
      </c>
      <c r="M39" s="154"/>
      <c r="N39" s="155"/>
    </row>
    <row r="40" spans="2:14" ht="13.5" customHeight="1">
      <c r="B40" s="163" t="s">
        <v>257</v>
      </c>
      <c r="C40" s="157" t="s">
        <v>250</v>
      </c>
      <c r="D40" s="102" t="s">
        <v>251</v>
      </c>
      <c r="E40" s="152" t="s">
        <v>105</v>
      </c>
      <c r="F40" s="153" t="s">
        <v>105</v>
      </c>
      <c r="G40" s="154" t="s">
        <v>105</v>
      </c>
      <c r="H40" s="166" t="s">
        <v>105</v>
      </c>
      <c r="I40" s="107">
        <f>(12169.17+17070.15)+34195.27*2+(1823086.76*0.5+5939.42*320)*2</f>
        <v>5721945.42</v>
      </c>
      <c r="J40" s="110">
        <f>(12169.17+17070.15)+34195.27*1+1823086.76*0.5+1771.54*320</f>
        <v>1541870.77</v>
      </c>
      <c r="K40" s="114">
        <f>(12169.17+17070.15)+34195.27*2+(6558441.53*0.3+1468.33*670)*2</f>
        <v>6000256.978</v>
      </c>
      <c r="L40" s="115">
        <f>(12169.17+17070.15)+34195.27*1+6558441.53*0.3+1468.33*670</f>
        <v>3014748.149</v>
      </c>
      <c r="M40" s="152" t="s">
        <v>105</v>
      </c>
      <c r="N40" s="161" t="s">
        <v>105</v>
      </c>
    </row>
    <row r="41" spans="2:14" ht="14.25" customHeight="1">
      <c r="B41" s="163"/>
      <c r="C41" s="157"/>
      <c r="D41" s="102" t="s">
        <v>252</v>
      </c>
      <c r="E41" s="152"/>
      <c r="F41" s="153"/>
      <c r="G41" s="154"/>
      <c r="H41" s="166"/>
      <c r="I41" s="107">
        <f>(12169.17+17070.15)+34195.27*2+(1371979.3*0.5+5939.42*320)*2</f>
        <v>5270837.96</v>
      </c>
      <c r="J41" s="110">
        <f>(12169.17+17070.15)+34195.27*1+1371979.3*0.5+1771.54*320</f>
        <v>1316317.04</v>
      </c>
      <c r="K41" s="114">
        <f>(12169.17+17070.15)+34195.27*2+(1746022.45*0.3+1468.33*670)*2</f>
        <v>3112805.53</v>
      </c>
      <c r="L41" s="115">
        <f>(12169.17+17070.15)+34195.27*1+1746022.45*0.3+1468.33*670</f>
        <v>1571022.4249999998</v>
      </c>
      <c r="M41" s="152"/>
      <c r="N41" s="161"/>
    </row>
    <row r="42" spans="2:14" ht="13.5" customHeight="1">
      <c r="B42" s="163"/>
      <c r="C42" s="157" t="s">
        <v>253</v>
      </c>
      <c r="D42" s="102" t="s">
        <v>251</v>
      </c>
      <c r="E42" s="152" t="s">
        <v>105</v>
      </c>
      <c r="F42" s="153" t="s">
        <v>105</v>
      </c>
      <c r="G42" s="154">
        <f>(12411.89+11567.44)+249213.7*2</f>
        <v>522406.73000000004</v>
      </c>
      <c r="H42" s="155">
        <f>(12411.89+11567.44)+249213.7*1</f>
        <v>273193.03</v>
      </c>
      <c r="I42" s="107">
        <f>(12169.17+17070.15)+249213.7*2+1823086.76*0.5*2</f>
        <v>2350753.48</v>
      </c>
      <c r="J42" s="110">
        <f>(12169.17+17070.15)+249213.7*1+1823086.76*0.5</f>
        <v>1189996.4</v>
      </c>
      <c r="K42" s="114">
        <f>(12169.17+17070.15)+249213.7*2+6558441.53*0.3*2</f>
        <v>4462731.638</v>
      </c>
      <c r="L42" s="115">
        <f>(12169.17+17070.15)+249213.7*1+6558441.53*0.3</f>
        <v>2245985.4790000003</v>
      </c>
      <c r="M42" s="152" t="s">
        <v>105</v>
      </c>
      <c r="N42" s="161" t="s">
        <v>105</v>
      </c>
    </row>
    <row r="43" spans="2:14" ht="15" customHeight="1">
      <c r="B43" s="163"/>
      <c r="C43" s="157"/>
      <c r="D43" s="102" t="s">
        <v>252</v>
      </c>
      <c r="E43" s="152"/>
      <c r="F43" s="153"/>
      <c r="G43" s="154"/>
      <c r="H43" s="155"/>
      <c r="I43" s="107">
        <f>(12169.17+17070.15)+249213.7*2+1371979.3*0.5*2</f>
        <v>1899646.02</v>
      </c>
      <c r="J43" s="110">
        <f>(12169.17+17070.15)+249213.7*1+1371979.3*0.5</f>
        <v>964442.67</v>
      </c>
      <c r="K43" s="114">
        <f>(12169.17+17070.15)+249213.7*2+1746022.45*0.3*2</f>
        <v>1575280.19</v>
      </c>
      <c r="L43" s="115">
        <f>(12169.17+17070.15)+249213.7*1+1746022.45*0.3</f>
        <v>802259.755</v>
      </c>
      <c r="M43" s="152"/>
      <c r="N43" s="161"/>
    </row>
    <row r="44" spans="2:14" ht="14.25" customHeight="1">
      <c r="B44" s="163"/>
      <c r="C44" s="157" t="s">
        <v>253</v>
      </c>
      <c r="D44" s="102" t="s">
        <v>254</v>
      </c>
      <c r="E44" s="154">
        <f>(12411.89+11567.44)+26988.36*2</f>
        <v>77956.05</v>
      </c>
      <c r="F44" s="153" t="s">
        <v>255</v>
      </c>
      <c r="G44" s="154">
        <f>(12411.89+11567.44)+34195.27*2</f>
        <v>92369.87</v>
      </c>
      <c r="H44" s="155">
        <f>(12411.89+11567.44)+34195.27*1</f>
        <v>58174.6</v>
      </c>
      <c r="I44" s="107">
        <f>(12169.17+17070.15)+34195.27*2+5531219.13*0.5*2</f>
        <v>5628848.99</v>
      </c>
      <c r="J44" s="110">
        <f>(12169.17+17070.15)+34195.27*1+5531219.13*0.5</f>
        <v>2829044.155</v>
      </c>
      <c r="K44" s="114">
        <f>(12169.17+17070.15)+34195.27*2+819699.88*0.3*2</f>
        <v>589449.788</v>
      </c>
      <c r="L44" s="115">
        <f>(12169.17+17070.15)+34195.27*1+819699.88*0.3</f>
        <v>309344.554</v>
      </c>
      <c r="M44" s="154">
        <f>(12411.89+11567.44)+26988.36*2</f>
        <v>77956.05</v>
      </c>
      <c r="N44" s="155">
        <f>(3000)*15</f>
        <v>45000</v>
      </c>
    </row>
    <row r="45" spans="2:14" ht="15" customHeight="1" thickBot="1">
      <c r="B45" s="164"/>
      <c r="C45" s="158"/>
      <c r="D45" s="103" t="s">
        <v>256</v>
      </c>
      <c r="E45" s="154"/>
      <c r="F45" s="159"/>
      <c r="G45" s="160"/>
      <c r="H45" s="162"/>
      <c r="I45" s="108">
        <f>(12169.17+17070.15)+34195.27*2+1540630.92*0.5*2</f>
        <v>1638260.7799999998</v>
      </c>
      <c r="J45" s="111">
        <f>(12169.17+17070.15)+34195.27*1+1540630.92*0.5</f>
        <v>833750.0499999999</v>
      </c>
      <c r="K45" s="116">
        <f>(12169.17+17070.15)+34195.27*2+1397988.86*0.3*2</f>
        <v>936423.176</v>
      </c>
      <c r="L45" s="117">
        <f>(12169.17+17070.15)+34195.27*1+1397988.86*0.3</f>
        <v>482831.248</v>
      </c>
      <c r="M45" s="160"/>
      <c r="N45" s="162"/>
    </row>
    <row r="47" spans="2:20" ht="16.5" customHeight="1">
      <c r="B47" s="156" t="s">
        <v>258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</row>
  </sheetData>
  <sheetProtection/>
  <mergeCells count="74">
    <mergeCell ref="M33:N33"/>
    <mergeCell ref="A1:M1"/>
    <mergeCell ref="A2:M2"/>
    <mergeCell ref="A9:M9"/>
    <mergeCell ref="A11:A13"/>
    <mergeCell ref="B11:B13"/>
    <mergeCell ref="C11:Q11"/>
    <mergeCell ref="I12:K12"/>
    <mergeCell ref="O12:Q12"/>
    <mergeCell ref="A3:R3"/>
    <mergeCell ref="A4:R4"/>
    <mergeCell ref="A8:R8"/>
    <mergeCell ref="R11:R12"/>
    <mergeCell ref="A5:R5"/>
    <mergeCell ref="A6:R6"/>
    <mergeCell ref="A7:R7"/>
    <mergeCell ref="C12:E12"/>
    <mergeCell ref="F12:H12"/>
    <mergeCell ref="L12:N12"/>
    <mergeCell ref="A28:R28"/>
    <mergeCell ref="B30:D30"/>
    <mergeCell ref="E30:F30"/>
    <mergeCell ref="G30:H30"/>
    <mergeCell ref="I30:J30"/>
    <mergeCell ref="K30:L30"/>
    <mergeCell ref="M30:N30"/>
    <mergeCell ref="B31:D31"/>
    <mergeCell ref="B33:D33"/>
    <mergeCell ref="E33:L33"/>
    <mergeCell ref="B34:B39"/>
    <mergeCell ref="C34:C35"/>
    <mergeCell ref="E34:E35"/>
    <mergeCell ref="F34:F35"/>
    <mergeCell ref="G34:G35"/>
    <mergeCell ref="H34:H35"/>
    <mergeCell ref="C38:C39"/>
    <mergeCell ref="M34:M35"/>
    <mergeCell ref="N34:N35"/>
    <mergeCell ref="C36:C37"/>
    <mergeCell ref="E36:E37"/>
    <mergeCell ref="F36:F37"/>
    <mergeCell ref="G36:G37"/>
    <mergeCell ref="H36:H37"/>
    <mergeCell ref="M36:M37"/>
    <mergeCell ref="N36:N37"/>
    <mergeCell ref="N44:N45"/>
    <mergeCell ref="N40:N41"/>
    <mergeCell ref="E38:E39"/>
    <mergeCell ref="F38:F39"/>
    <mergeCell ref="G38:G39"/>
    <mergeCell ref="H38:H39"/>
    <mergeCell ref="M38:M39"/>
    <mergeCell ref="H40:H41"/>
    <mergeCell ref="M40:M41"/>
    <mergeCell ref="N42:N43"/>
    <mergeCell ref="H44:H45"/>
    <mergeCell ref="M44:M45"/>
    <mergeCell ref="C42:C43"/>
    <mergeCell ref="N38:N39"/>
    <mergeCell ref="B40:B45"/>
    <mergeCell ref="C40:C41"/>
    <mergeCell ref="E40:E41"/>
    <mergeCell ref="F40:F41"/>
    <mergeCell ref="G40:G41"/>
    <mergeCell ref="E42:E43"/>
    <mergeCell ref="F42:F43"/>
    <mergeCell ref="G42:G43"/>
    <mergeCell ref="H42:H43"/>
    <mergeCell ref="B47:T47"/>
    <mergeCell ref="C44:C45"/>
    <mergeCell ref="E44:E45"/>
    <mergeCell ref="F44:F45"/>
    <mergeCell ref="G44:G45"/>
    <mergeCell ref="M42:M43"/>
  </mergeCells>
  <printOptions/>
  <pageMargins left="0.7" right="0.7" top="0.75" bottom="0.75" header="0.3" footer="0.3"/>
  <pageSetup horizontalDpi="180" verticalDpi="180" orientation="landscape" paperSize="9" scale="32" r:id="rId1"/>
  <ignoredErrors>
    <ignoredError sqref="E2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6"/>
  <sheetViews>
    <sheetView zoomScale="85" zoomScaleNormal="85" zoomScaleSheetLayoutView="85" zoomScalePageLayoutView="0" workbookViewId="0" topLeftCell="A1">
      <selection activeCell="B19" sqref="B19"/>
    </sheetView>
  </sheetViews>
  <sheetFormatPr defaultColWidth="12.28125" defaultRowHeight="15"/>
  <cols>
    <col min="1" max="1" width="5.8515625" style="5" customWidth="1"/>
    <col min="2" max="2" width="27.00390625" style="4" customWidth="1"/>
    <col min="3" max="3" width="17.28125" style="4" customWidth="1"/>
    <col min="4" max="4" width="13.57421875" style="4" customWidth="1"/>
    <col min="5" max="5" width="16.140625" style="4" customWidth="1"/>
    <col min="6" max="6" width="9.421875" style="4" customWidth="1"/>
    <col min="7" max="7" width="17.00390625" style="4" customWidth="1"/>
    <col min="8" max="8" width="13.57421875" style="4" customWidth="1"/>
    <col min="9" max="9" width="10.00390625" style="4" customWidth="1"/>
    <col min="10" max="10" width="12.140625" style="4" customWidth="1"/>
    <col min="11" max="11" width="14.140625" style="4" customWidth="1"/>
    <col min="12" max="12" width="9.140625" style="4" customWidth="1"/>
    <col min="13" max="13" width="9.57421875" style="4" customWidth="1"/>
    <col min="14" max="14" width="10.7109375" style="4" customWidth="1"/>
    <col min="15" max="16384" width="12.28125" style="4" customWidth="1"/>
  </cols>
  <sheetData>
    <row r="1" spans="1:17" ht="15">
      <c r="A1" s="205" t="s">
        <v>216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</row>
    <row r="3" spans="1:17" s="11" customFormat="1" ht="51" customHeight="1">
      <c r="A3" s="187" t="s">
        <v>117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</row>
    <row r="4" spans="1:17" s="12" customFormat="1" ht="12.75">
      <c r="A4" s="196" t="s">
        <v>119</v>
      </c>
      <c r="B4" s="201" t="s">
        <v>49</v>
      </c>
      <c r="C4" s="201" t="s">
        <v>50</v>
      </c>
      <c r="D4" s="201"/>
      <c r="E4" s="201"/>
      <c r="F4" s="201"/>
      <c r="G4" s="201"/>
      <c r="H4" s="201"/>
      <c r="I4" s="201"/>
      <c r="J4" s="201"/>
      <c r="K4" s="201"/>
      <c r="L4" s="201"/>
      <c r="M4" s="201"/>
      <c r="N4" s="201"/>
      <c r="O4" s="201"/>
      <c r="P4" s="201"/>
      <c r="Q4" s="201"/>
    </row>
    <row r="5" spans="1:17" s="12" customFormat="1" ht="36" customHeight="1">
      <c r="A5" s="196"/>
      <c r="B5" s="201"/>
      <c r="C5" s="195" t="s">
        <v>51</v>
      </c>
      <c r="D5" s="195"/>
      <c r="E5" s="195"/>
      <c r="F5" s="195" t="s">
        <v>52</v>
      </c>
      <c r="G5" s="195"/>
      <c r="H5" s="195"/>
      <c r="I5" s="195" t="s">
        <v>53</v>
      </c>
      <c r="J5" s="195"/>
      <c r="K5" s="195"/>
      <c r="L5" s="195" t="s">
        <v>54</v>
      </c>
      <c r="M5" s="195"/>
      <c r="N5" s="195"/>
      <c r="O5" s="195" t="s">
        <v>55</v>
      </c>
      <c r="P5" s="195"/>
      <c r="Q5" s="195"/>
    </row>
    <row r="6" spans="1:17" s="12" customFormat="1" ht="51.75" customHeight="1">
      <c r="A6" s="196"/>
      <c r="B6" s="201"/>
      <c r="C6" s="62" t="s">
        <v>3</v>
      </c>
      <c r="D6" s="62" t="s">
        <v>118</v>
      </c>
      <c r="E6" s="62" t="s">
        <v>5</v>
      </c>
      <c r="F6" s="62" t="s">
        <v>3</v>
      </c>
      <c r="G6" s="62" t="s">
        <v>118</v>
      </c>
      <c r="H6" s="62" t="s">
        <v>5</v>
      </c>
      <c r="I6" s="62" t="s">
        <v>3</v>
      </c>
      <c r="J6" s="62" t="s">
        <v>118</v>
      </c>
      <c r="K6" s="62" t="s">
        <v>5</v>
      </c>
      <c r="L6" s="62" t="s">
        <v>3</v>
      </c>
      <c r="M6" s="62" t="s">
        <v>118</v>
      </c>
      <c r="N6" s="62" t="s">
        <v>5</v>
      </c>
      <c r="O6" s="62" t="s">
        <v>3</v>
      </c>
      <c r="P6" s="62" t="s">
        <v>118</v>
      </c>
      <c r="Q6" s="62" t="s">
        <v>5</v>
      </c>
    </row>
    <row r="7" spans="1:17" s="12" customFormat="1" ht="15.75" customHeight="1">
      <c r="A7" s="63">
        <v>1</v>
      </c>
      <c r="B7" s="62">
        <v>2</v>
      </c>
      <c r="C7" s="62">
        <v>3</v>
      </c>
      <c r="D7" s="62">
        <v>4</v>
      </c>
      <c r="E7" s="62">
        <v>5</v>
      </c>
      <c r="F7" s="62">
        <v>6</v>
      </c>
      <c r="G7" s="62">
        <v>7</v>
      </c>
      <c r="H7" s="62">
        <v>8</v>
      </c>
      <c r="I7" s="62">
        <v>9</v>
      </c>
      <c r="J7" s="62">
        <v>10</v>
      </c>
      <c r="K7" s="62">
        <v>11</v>
      </c>
      <c r="L7" s="62">
        <v>12</v>
      </c>
      <c r="M7" s="62">
        <v>13</v>
      </c>
      <c r="N7" s="62">
        <v>14</v>
      </c>
      <c r="O7" s="62">
        <v>15</v>
      </c>
      <c r="P7" s="62">
        <v>16</v>
      </c>
      <c r="Q7" s="62">
        <v>17</v>
      </c>
    </row>
    <row r="8" spans="1:17" s="39" customFormat="1" ht="16.5" customHeight="1">
      <c r="A8" s="36">
        <v>1</v>
      </c>
      <c r="B8" s="37" t="s">
        <v>223</v>
      </c>
      <c r="C8" s="38">
        <f>SUM(C9:C14)</f>
        <v>71</v>
      </c>
      <c r="D8" s="38">
        <v>71</v>
      </c>
      <c r="E8" s="90">
        <f>(D8-C8)/C8*100</f>
        <v>0</v>
      </c>
      <c r="F8" s="38">
        <v>0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</v>
      </c>
      <c r="Q8" s="38">
        <v>0</v>
      </c>
    </row>
    <row r="9" spans="1:17" s="11" customFormat="1" ht="26.25">
      <c r="A9" s="13" t="s">
        <v>120</v>
      </c>
      <c r="B9" s="14" t="s">
        <v>56</v>
      </c>
      <c r="C9" s="7">
        <v>9</v>
      </c>
      <c r="D9" s="7">
        <v>3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</row>
    <row r="10" spans="1:17" s="11" customFormat="1" ht="39">
      <c r="A10" s="13" t="s">
        <v>121</v>
      </c>
      <c r="B10" s="14" t="s">
        <v>57</v>
      </c>
      <c r="C10" s="7">
        <v>36</v>
      </c>
      <c r="D10" s="7">
        <v>21</v>
      </c>
      <c r="E10" s="35">
        <f>(D10-C10)/C10*100</f>
        <v>-41.66666666666667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</row>
    <row r="11" spans="1:17" s="11" customFormat="1" ht="26.25">
      <c r="A11" s="13" t="s">
        <v>122</v>
      </c>
      <c r="B11" s="14" t="s">
        <v>58</v>
      </c>
      <c r="C11" s="7">
        <v>24</v>
      </c>
      <c r="D11" s="7">
        <v>7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1:17" s="11" customFormat="1" ht="12.75">
      <c r="A12" s="13" t="s">
        <v>123</v>
      </c>
      <c r="B12" s="14" t="s">
        <v>59</v>
      </c>
      <c r="C12" s="7"/>
      <c r="D12" s="7"/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1:17" s="11" customFormat="1" ht="26.25">
      <c r="A13" s="13" t="s">
        <v>124</v>
      </c>
      <c r="B13" s="14" t="s">
        <v>60</v>
      </c>
      <c r="C13" s="7">
        <v>2</v>
      </c>
      <c r="D13" s="7">
        <v>1</v>
      </c>
      <c r="E13" s="35">
        <f>(D13-C13)/C13*100</f>
        <v>-50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1:17" s="11" customFormat="1" ht="12.75">
      <c r="A14" s="13" t="s">
        <v>125</v>
      </c>
      <c r="B14" s="14" t="s">
        <v>61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1:17" s="41" customFormat="1" ht="19.5" customHeight="1">
      <c r="A15" s="36" t="s">
        <v>126</v>
      </c>
      <c r="B15" s="40" t="s">
        <v>224</v>
      </c>
      <c r="C15" s="38">
        <f>SUM(C16:C21)</f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8">
        <v>0</v>
      </c>
      <c r="L15" s="38">
        <v>0</v>
      </c>
      <c r="M15" s="38">
        <v>0</v>
      </c>
      <c r="N15" s="38">
        <v>0</v>
      </c>
      <c r="O15" s="38">
        <v>0</v>
      </c>
      <c r="P15" s="38">
        <v>0</v>
      </c>
      <c r="Q15" s="38">
        <v>0</v>
      </c>
    </row>
    <row r="16" spans="1:17" s="11" customFormat="1" ht="39">
      <c r="A16" s="13" t="s">
        <v>127</v>
      </c>
      <c r="B16" s="14" t="s">
        <v>62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1:17" s="11" customFormat="1" ht="26.25">
      <c r="A17" s="13" t="s">
        <v>128</v>
      </c>
      <c r="B17" s="14" t="s">
        <v>63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1:17" s="11" customFormat="1" ht="12.75">
      <c r="A18" s="13" t="s">
        <v>129</v>
      </c>
      <c r="B18" s="14" t="s">
        <v>64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1:17" s="11" customFormat="1" ht="39">
      <c r="A19" s="13" t="s">
        <v>130</v>
      </c>
      <c r="B19" s="14" t="s">
        <v>57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1:17" s="11" customFormat="1" ht="26.25">
      <c r="A20" s="13" t="s">
        <v>131</v>
      </c>
      <c r="B20" s="14" t="s">
        <v>58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1:17" s="11" customFormat="1" ht="12.75">
      <c r="A21" s="13" t="s">
        <v>132</v>
      </c>
      <c r="B21" s="14" t="s">
        <v>59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1:17" s="11" customFormat="1" ht="39">
      <c r="A22" s="13" t="s">
        <v>133</v>
      </c>
      <c r="B22" s="14" t="s">
        <v>65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1:17" s="11" customFormat="1" ht="12.75">
      <c r="A23" s="13" t="s">
        <v>134</v>
      </c>
      <c r="B23" s="14" t="s">
        <v>61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1:17" s="41" customFormat="1" ht="17.25" customHeight="1">
      <c r="A24" s="36" t="s">
        <v>136</v>
      </c>
      <c r="B24" s="40" t="s">
        <v>135</v>
      </c>
      <c r="C24" s="38">
        <f>SUM(C25:C28)</f>
        <v>42</v>
      </c>
      <c r="D24" s="38">
        <f>SUM(D25:D28)</f>
        <v>28</v>
      </c>
      <c r="E24" s="90">
        <f>(D24-C24)/C24*100</f>
        <v>-33.33333333333333</v>
      </c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</row>
    <row r="25" spans="1:17" s="11" customFormat="1" ht="26.25">
      <c r="A25" s="13" t="s">
        <v>137</v>
      </c>
      <c r="B25" s="14" t="s">
        <v>26</v>
      </c>
      <c r="C25" s="7">
        <v>36</v>
      </c>
      <c r="D25" s="7">
        <v>21</v>
      </c>
      <c r="E25" s="7">
        <f>ROUND((D25-C25)/C25*100,0)</f>
        <v>-42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1:17" s="11" customFormat="1" ht="39">
      <c r="A26" s="13" t="s">
        <v>138</v>
      </c>
      <c r="B26" s="14" t="s">
        <v>66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1:17" s="11" customFormat="1" ht="26.25">
      <c r="A27" s="13" t="s">
        <v>139</v>
      </c>
      <c r="B27" s="14" t="s">
        <v>67</v>
      </c>
      <c r="C27" s="7">
        <v>6</v>
      </c>
      <c r="D27" s="7">
        <v>7</v>
      </c>
      <c r="E27" s="7">
        <f>ROUND((D27-C27)/C27*100,0)</f>
        <v>17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1:17" s="11" customFormat="1" ht="12.75">
      <c r="A28" s="13" t="s">
        <v>140</v>
      </c>
      <c r="B28" s="14" t="s">
        <v>61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="11" customFormat="1" ht="12.75">
      <c r="A29" s="15"/>
    </row>
    <row r="30" spans="1:17" s="11" customFormat="1" ht="12.75">
      <c r="A30" s="187" t="s">
        <v>68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7"/>
      <c r="P30" s="187"/>
      <c r="Q30" s="187"/>
    </row>
    <row r="31" spans="1:11" s="12" customFormat="1" ht="159" customHeight="1">
      <c r="A31" s="63" t="s">
        <v>119</v>
      </c>
      <c r="B31" s="62" t="s">
        <v>69</v>
      </c>
      <c r="C31" s="62" t="s">
        <v>70</v>
      </c>
      <c r="D31" s="62" t="s">
        <v>71</v>
      </c>
      <c r="E31" s="62" t="s">
        <v>72</v>
      </c>
      <c r="F31" s="62" t="s">
        <v>73</v>
      </c>
      <c r="G31" s="62" t="s">
        <v>74</v>
      </c>
      <c r="H31" s="62" t="s">
        <v>75</v>
      </c>
      <c r="I31" s="62" t="s">
        <v>76</v>
      </c>
      <c r="J31" s="62" t="s">
        <v>77</v>
      </c>
      <c r="K31" s="62" t="s">
        <v>78</v>
      </c>
    </row>
    <row r="32" spans="1:11" s="11" customFormat="1" ht="12.75">
      <c r="A32" s="62">
        <v>1</v>
      </c>
      <c r="B32" s="62">
        <v>2</v>
      </c>
      <c r="C32" s="62">
        <v>3</v>
      </c>
      <c r="D32" s="62">
        <v>4</v>
      </c>
      <c r="E32" s="62">
        <v>5</v>
      </c>
      <c r="F32" s="62">
        <v>6</v>
      </c>
      <c r="G32" s="62">
        <v>7</v>
      </c>
      <c r="H32" s="62">
        <v>8</v>
      </c>
      <c r="I32" s="62">
        <v>9</v>
      </c>
      <c r="J32" s="62">
        <v>10</v>
      </c>
      <c r="K32" s="62">
        <v>11</v>
      </c>
    </row>
    <row r="33" spans="1:11" s="11" customFormat="1" ht="98.25" customHeight="1">
      <c r="A33" s="13" t="s">
        <v>142</v>
      </c>
      <c r="B33" s="202" t="s">
        <v>144</v>
      </c>
      <c r="C33" s="14" t="s">
        <v>189</v>
      </c>
      <c r="D33" s="14" t="s">
        <v>232</v>
      </c>
      <c r="E33" s="59" t="s">
        <v>236</v>
      </c>
      <c r="F33" s="7" t="s">
        <v>233</v>
      </c>
      <c r="G33" s="202" t="s">
        <v>106</v>
      </c>
      <c r="H33" s="7" t="s">
        <v>141</v>
      </c>
      <c r="I33" s="7" t="s">
        <v>141</v>
      </c>
      <c r="J33" s="7" t="s">
        <v>141</v>
      </c>
      <c r="K33" s="7" t="s">
        <v>141</v>
      </c>
    </row>
    <row r="34" spans="1:11" s="11" customFormat="1" ht="113.25" customHeight="1">
      <c r="A34" s="13" t="s">
        <v>126</v>
      </c>
      <c r="B34" s="203"/>
      <c r="C34" s="14" t="s">
        <v>190</v>
      </c>
      <c r="D34" s="204" t="s">
        <v>215</v>
      </c>
      <c r="E34" s="204"/>
      <c r="F34" s="7" t="s">
        <v>107</v>
      </c>
      <c r="G34" s="203"/>
      <c r="H34" s="7" t="s">
        <v>141</v>
      </c>
      <c r="I34" s="7" t="s">
        <v>141</v>
      </c>
      <c r="J34" s="7" t="s">
        <v>141</v>
      </c>
      <c r="K34" s="7" t="s">
        <v>141</v>
      </c>
    </row>
    <row r="35" s="11" customFormat="1" ht="12.75">
      <c r="A35" s="15"/>
    </row>
    <row r="36" spans="1:17" s="11" customFormat="1" ht="12.75">
      <c r="A36" s="187" t="s">
        <v>145</v>
      </c>
      <c r="B36" s="187"/>
      <c r="C36" s="187"/>
      <c r="D36" s="187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</row>
    <row r="37" s="11" customFormat="1" ht="12.75">
      <c r="A37" s="15"/>
    </row>
    <row r="38" spans="1:4" s="11" customFormat="1" ht="12.75">
      <c r="A38" s="13" t="s">
        <v>119</v>
      </c>
      <c r="B38" s="7" t="s">
        <v>79</v>
      </c>
      <c r="C38" s="14"/>
      <c r="D38" s="14"/>
    </row>
    <row r="39" spans="1:4" s="11" customFormat="1" ht="92.25">
      <c r="A39" s="13" t="s">
        <v>142</v>
      </c>
      <c r="B39" s="14" t="s">
        <v>146</v>
      </c>
      <c r="C39" s="14" t="s">
        <v>80</v>
      </c>
      <c r="D39" s="7" t="s">
        <v>234</v>
      </c>
    </row>
    <row r="40" spans="1:4" s="11" customFormat="1" ht="52.5">
      <c r="A40" s="13" t="s">
        <v>126</v>
      </c>
      <c r="B40" s="14" t="s">
        <v>147</v>
      </c>
      <c r="C40" s="14" t="s">
        <v>81</v>
      </c>
      <c r="D40" s="7" t="s">
        <v>141</v>
      </c>
    </row>
    <row r="41" spans="1:4" s="11" customFormat="1" ht="52.5">
      <c r="A41" s="13" t="s">
        <v>127</v>
      </c>
      <c r="B41" s="14" t="s">
        <v>82</v>
      </c>
      <c r="C41" s="14" t="s">
        <v>81</v>
      </c>
      <c r="D41" s="7" t="s">
        <v>141</v>
      </c>
    </row>
    <row r="42" spans="1:4" s="11" customFormat="1" ht="66">
      <c r="A42" s="13" t="s">
        <v>130</v>
      </c>
      <c r="B42" s="14" t="s">
        <v>83</v>
      </c>
      <c r="C42" s="14" t="s">
        <v>81</v>
      </c>
      <c r="D42" s="7" t="s">
        <v>141</v>
      </c>
    </row>
    <row r="43" spans="1:4" s="11" customFormat="1" ht="52.5">
      <c r="A43" s="13" t="s">
        <v>136</v>
      </c>
      <c r="B43" s="14" t="s">
        <v>84</v>
      </c>
      <c r="C43" s="14" t="s">
        <v>148</v>
      </c>
      <c r="D43" s="7" t="s">
        <v>141</v>
      </c>
    </row>
    <row r="44" spans="1:4" s="11" customFormat="1" ht="66">
      <c r="A44" s="13" t="s">
        <v>143</v>
      </c>
      <c r="B44" s="14" t="s">
        <v>85</v>
      </c>
      <c r="C44" s="14" t="s">
        <v>148</v>
      </c>
      <c r="D44" s="7" t="s">
        <v>141</v>
      </c>
    </row>
    <row r="45" s="11" customFormat="1" ht="12.75">
      <c r="A45" s="15"/>
    </row>
    <row r="46" spans="1:15" s="33" customFormat="1" ht="29.25" customHeight="1">
      <c r="A46" s="198" t="s">
        <v>149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  <c r="L46" s="198"/>
      <c r="M46" s="198"/>
      <c r="N46" s="198"/>
      <c r="O46" s="198"/>
    </row>
    <row r="47" spans="1:10" s="42" customFormat="1" ht="17.25" customHeight="1">
      <c r="A47" s="198" t="s">
        <v>150</v>
      </c>
      <c r="B47" s="198"/>
      <c r="C47" s="198"/>
      <c r="D47" s="198"/>
      <c r="E47" s="198"/>
      <c r="F47" s="198"/>
      <c r="G47" s="198"/>
      <c r="H47" s="198"/>
      <c r="I47" s="198"/>
      <c r="J47" s="198"/>
    </row>
    <row r="48" s="42" customFormat="1" ht="12.75">
      <c r="A48" s="43"/>
    </row>
    <row r="49" spans="1:15" s="42" customFormat="1" ht="16.5" customHeight="1">
      <c r="A49" s="198" t="s">
        <v>151</v>
      </c>
      <c r="B49" s="198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</row>
    <row r="50" spans="1:15" s="42" customFormat="1" ht="31.5" customHeight="1">
      <c r="A50" s="198" t="s">
        <v>152</v>
      </c>
      <c r="B50" s="198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</row>
    <row r="51" spans="1:15" s="42" customFormat="1" ht="16.5" customHeight="1">
      <c r="A51" s="199" t="s">
        <v>153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</row>
    <row r="52" s="42" customFormat="1" ht="12.75">
      <c r="A52" s="43"/>
    </row>
    <row r="53" spans="1:15" s="42" customFormat="1" ht="27" customHeight="1">
      <c r="A53" s="197" t="s">
        <v>154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</row>
    <row r="54" spans="1:15" s="42" customFormat="1" ht="17.25" customHeight="1">
      <c r="A54" s="200" t="s">
        <v>155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</row>
    <row r="55" s="42" customFormat="1" ht="12.75">
      <c r="A55" s="43"/>
    </row>
    <row r="56" spans="1:15" s="42" customFormat="1" ht="15.75" customHeight="1">
      <c r="A56" s="197" t="s">
        <v>156</v>
      </c>
      <c r="B56" s="198"/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</row>
    <row r="57" spans="1:15" s="42" customFormat="1" ht="17.25" customHeight="1">
      <c r="A57" s="199" t="s">
        <v>237</v>
      </c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</row>
    <row r="58" spans="1:15" s="42" customFormat="1" ht="18" customHeight="1">
      <c r="A58" s="199" t="s">
        <v>157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</row>
    <row r="59" s="11" customFormat="1" ht="12.75">
      <c r="A59" s="15"/>
    </row>
    <row r="60" spans="1:17" s="11" customFormat="1" ht="12.75">
      <c r="A60" s="187" t="s">
        <v>158</v>
      </c>
      <c r="B60" s="187"/>
      <c r="C60" s="187"/>
      <c r="D60" s="187"/>
      <c r="E60" s="187"/>
      <c r="F60" s="187"/>
      <c r="G60" s="187"/>
      <c r="H60" s="187"/>
      <c r="I60" s="187"/>
      <c r="J60" s="187"/>
      <c r="K60" s="187"/>
      <c r="L60" s="187"/>
      <c r="M60" s="187"/>
      <c r="N60" s="187"/>
      <c r="O60" s="187"/>
      <c r="P60" s="187"/>
      <c r="Q60" s="187"/>
    </row>
    <row r="61" spans="1:30" s="12" customFormat="1" ht="39.75" customHeight="1">
      <c r="A61" s="196" t="s">
        <v>119</v>
      </c>
      <c r="B61" s="195" t="s">
        <v>159</v>
      </c>
      <c r="C61" s="195" t="s">
        <v>160</v>
      </c>
      <c r="D61" s="195" t="s">
        <v>161</v>
      </c>
      <c r="E61" s="195" t="s">
        <v>162</v>
      </c>
      <c r="F61" s="195"/>
      <c r="G61" s="195"/>
      <c r="H61" s="195"/>
      <c r="I61" s="195" t="s">
        <v>167</v>
      </c>
      <c r="J61" s="195"/>
      <c r="K61" s="195"/>
      <c r="L61" s="195"/>
      <c r="M61" s="195"/>
      <c r="N61" s="195"/>
      <c r="O61" s="195" t="s">
        <v>173</v>
      </c>
      <c r="P61" s="195"/>
      <c r="Q61" s="195"/>
      <c r="R61" s="195"/>
      <c r="S61" s="195"/>
      <c r="T61" s="195"/>
      <c r="U61" s="195"/>
      <c r="V61" s="195" t="s">
        <v>177</v>
      </c>
      <c r="W61" s="195"/>
      <c r="X61" s="195"/>
      <c r="Y61" s="195"/>
      <c r="Z61" s="195" t="s">
        <v>181</v>
      </c>
      <c r="AA61" s="195"/>
      <c r="AB61" s="195"/>
      <c r="AC61" s="195" t="s">
        <v>185</v>
      </c>
      <c r="AD61" s="195"/>
    </row>
    <row r="62" spans="1:41" s="12" customFormat="1" ht="211.5" customHeight="1">
      <c r="A62" s="196"/>
      <c r="B62" s="195"/>
      <c r="C62" s="195"/>
      <c r="D62" s="195"/>
      <c r="E62" s="64" t="s">
        <v>163</v>
      </c>
      <c r="F62" s="64" t="s">
        <v>164</v>
      </c>
      <c r="G62" s="64" t="s">
        <v>165</v>
      </c>
      <c r="H62" s="64" t="s">
        <v>166</v>
      </c>
      <c r="I62" s="64" t="s">
        <v>168</v>
      </c>
      <c r="J62" s="64" t="s">
        <v>169</v>
      </c>
      <c r="K62" s="64" t="s">
        <v>170</v>
      </c>
      <c r="L62" s="64" t="s">
        <v>171</v>
      </c>
      <c r="M62" s="64" t="s">
        <v>172</v>
      </c>
      <c r="N62" s="64" t="s">
        <v>55</v>
      </c>
      <c r="O62" s="64" t="s">
        <v>174</v>
      </c>
      <c r="P62" s="64" t="s">
        <v>175</v>
      </c>
      <c r="Q62" s="64" t="s">
        <v>176</v>
      </c>
      <c r="R62" s="64" t="s">
        <v>170</v>
      </c>
      <c r="S62" s="64" t="s">
        <v>171</v>
      </c>
      <c r="T62" s="64" t="s">
        <v>172</v>
      </c>
      <c r="U62" s="64" t="s">
        <v>55</v>
      </c>
      <c r="V62" s="64" t="s">
        <v>178</v>
      </c>
      <c r="W62" s="64" t="s">
        <v>179</v>
      </c>
      <c r="X62" s="64" t="s">
        <v>180</v>
      </c>
      <c r="Y62" s="64" t="s">
        <v>55</v>
      </c>
      <c r="Z62" s="64" t="s">
        <v>182</v>
      </c>
      <c r="AA62" s="64" t="s">
        <v>183</v>
      </c>
      <c r="AB62" s="64" t="s">
        <v>184</v>
      </c>
      <c r="AC62" s="64" t="s">
        <v>186</v>
      </c>
      <c r="AD62" s="64" t="s">
        <v>187</v>
      </c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</row>
    <row r="63" spans="1:30" s="11" customFormat="1" ht="12.75">
      <c r="A63" s="62">
        <v>1</v>
      </c>
      <c r="B63" s="62">
        <v>2</v>
      </c>
      <c r="C63" s="62">
        <v>3</v>
      </c>
      <c r="D63" s="62">
        <v>4</v>
      </c>
      <c r="E63" s="62">
        <v>5</v>
      </c>
      <c r="F63" s="62">
        <v>6</v>
      </c>
      <c r="G63" s="62">
        <v>7</v>
      </c>
      <c r="H63" s="62">
        <v>8</v>
      </c>
      <c r="I63" s="62">
        <v>9</v>
      </c>
      <c r="J63" s="62">
        <v>10</v>
      </c>
      <c r="K63" s="62">
        <v>11</v>
      </c>
      <c r="L63" s="62">
        <v>12</v>
      </c>
      <c r="M63" s="62">
        <v>13</v>
      </c>
      <c r="N63" s="62">
        <v>14</v>
      </c>
      <c r="O63" s="62">
        <v>15</v>
      </c>
      <c r="P63" s="62">
        <v>16</v>
      </c>
      <c r="Q63" s="62">
        <v>17</v>
      </c>
      <c r="R63" s="62">
        <v>18</v>
      </c>
      <c r="S63" s="62">
        <v>19</v>
      </c>
      <c r="T63" s="62">
        <v>20</v>
      </c>
      <c r="U63" s="62">
        <v>21</v>
      </c>
      <c r="V63" s="62">
        <v>22</v>
      </c>
      <c r="W63" s="62">
        <v>23</v>
      </c>
      <c r="X63" s="62">
        <v>24</v>
      </c>
      <c r="Y63" s="62">
        <v>25</v>
      </c>
      <c r="Z63" s="62">
        <v>26</v>
      </c>
      <c r="AA63" s="62">
        <v>27</v>
      </c>
      <c r="AB63" s="62">
        <v>28</v>
      </c>
      <c r="AC63" s="62">
        <v>29</v>
      </c>
      <c r="AD63" s="62">
        <v>30</v>
      </c>
    </row>
    <row r="64" spans="1:30" s="11" customFormat="1" ht="12.75">
      <c r="A64" s="13" t="s">
        <v>142</v>
      </c>
      <c r="B64" s="7" t="s">
        <v>225</v>
      </c>
      <c r="C64" s="13" t="s">
        <v>262</v>
      </c>
      <c r="D64" s="7" t="s">
        <v>226</v>
      </c>
      <c r="E64" s="13" t="s">
        <v>141</v>
      </c>
      <c r="F64" s="13" t="s">
        <v>141</v>
      </c>
      <c r="G64" s="13" t="s">
        <v>141</v>
      </c>
      <c r="H64" s="13" t="s">
        <v>220</v>
      </c>
      <c r="I64" s="13" t="s">
        <v>141</v>
      </c>
      <c r="J64" s="13" t="s">
        <v>141</v>
      </c>
      <c r="K64" s="13" t="s">
        <v>227</v>
      </c>
      <c r="L64" s="13" t="s">
        <v>141</v>
      </c>
      <c r="M64" s="13" t="s">
        <v>141</v>
      </c>
      <c r="N64" s="13" t="s">
        <v>220</v>
      </c>
      <c r="O64" s="13" t="s">
        <v>141</v>
      </c>
      <c r="P64" s="13" t="s">
        <v>141</v>
      </c>
      <c r="Q64" s="13" t="s">
        <v>141</v>
      </c>
      <c r="R64" s="13" t="s">
        <v>141</v>
      </c>
      <c r="S64" s="13" t="s">
        <v>141</v>
      </c>
      <c r="T64" s="13" t="s">
        <v>141</v>
      </c>
      <c r="U64" s="13" t="s">
        <v>141</v>
      </c>
      <c r="V64" s="13" t="s">
        <v>220</v>
      </c>
      <c r="W64" s="13" t="s">
        <v>141</v>
      </c>
      <c r="X64" s="13" t="s">
        <v>220</v>
      </c>
      <c r="Y64" s="13" t="s">
        <v>141</v>
      </c>
      <c r="Z64" s="13" t="s">
        <v>220</v>
      </c>
      <c r="AA64" s="13" t="s">
        <v>141</v>
      </c>
      <c r="AB64" s="13" t="s">
        <v>141</v>
      </c>
      <c r="AC64" s="13" t="s">
        <v>141</v>
      </c>
      <c r="AD64" s="13" t="s">
        <v>141</v>
      </c>
    </row>
    <row r="65" s="11" customFormat="1" ht="12.75">
      <c r="A65" s="15"/>
    </row>
    <row r="66" spans="1:12" s="11" customFormat="1" ht="12.75">
      <c r="A66" s="194" t="s">
        <v>188</v>
      </c>
      <c r="B66" s="194"/>
      <c r="C66" s="194"/>
      <c r="D66" s="194"/>
      <c r="E66" s="194"/>
      <c r="F66" s="194"/>
      <c r="G66" s="194"/>
      <c r="H66" s="194"/>
      <c r="I66" s="194"/>
      <c r="J66" s="194"/>
      <c r="K66" s="194"/>
      <c r="L66" s="194"/>
    </row>
  </sheetData>
  <sheetProtection/>
  <mergeCells count="37">
    <mergeCell ref="A1:Q1"/>
    <mergeCell ref="A3:Q3"/>
    <mergeCell ref="C4:Q4"/>
    <mergeCell ref="C5:E5"/>
    <mergeCell ref="F5:H5"/>
    <mergeCell ref="I5:K5"/>
    <mergeCell ref="L5:N5"/>
    <mergeCell ref="A54:O54"/>
    <mergeCell ref="O5:Q5"/>
    <mergeCell ref="B4:B6"/>
    <mergeCell ref="A4:A6"/>
    <mergeCell ref="B33:B34"/>
    <mergeCell ref="G33:G34"/>
    <mergeCell ref="D34:E34"/>
    <mergeCell ref="A30:Q30"/>
    <mergeCell ref="A36:Q36"/>
    <mergeCell ref="A46:O46"/>
    <mergeCell ref="D61:D62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66:L66"/>
    <mergeCell ref="I61:N61"/>
    <mergeCell ref="O61:U61"/>
    <mergeCell ref="V61:Y61"/>
    <mergeCell ref="Z61:AB61"/>
    <mergeCell ref="AC61:AD61"/>
    <mergeCell ref="E61:H61"/>
    <mergeCell ref="A61:A62"/>
    <mergeCell ref="B61:B62"/>
    <mergeCell ref="C61:C62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4" max="255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2023-03-30T11:24:39Z</dcterms:modified>
  <cp:category/>
  <cp:version/>
  <cp:contentType/>
  <cp:contentStatus/>
</cp:coreProperties>
</file>